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0Funk\03DL6GL_Website\00Artikel\Grundlagen\Berechnungen\Attenuators\"/>
    </mc:Choice>
  </mc:AlternateContent>
  <xr:revisionPtr revIDLastSave="0" documentId="8_{C9286919-8E8D-41BD-86D5-E0EB2EE02D4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i-attenuator" sheetId="3" r:id="rId1"/>
    <sheet name="Tee-attenuator" sheetId="4" r:id="rId2"/>
    <sheet name="PI-List" sheetId="5" r:id="rId3"/>
    <sheet name="Tee-List" sheetId="6" r:id="rId4"/>
  </sheets>
  <definedNames>
    <definedName name="_xlnm.Print_Area" localSheetId="0">'Pi-attenuator'!$A$1:$H$45</definedName>
    <definedName name="_xlnm.Print_Area" localSheetId="2">'PI-List'!$A$1:$M$48</definedName>
    <definedName name="_xlnm.Print_Area" localSheetId="3">'Tee-List'!$A$1:$L$48</definedName>
  </definedNames>
  <calcPr calcId="191029"/>
</workbook>
</file>

<file path=xl/calcChain.xml><?xml version="1.0" encoding="utf-8"?>
<calcChain xmlns="http://schemas.openxmlformats.org/spreadsheetml/2006/main">
  <c r="D32" i="4" l="1"/>
  <c r="D34" i="4"/>
  <c r="D36" i="4"/>
  <c r="G15" i="4"/>
  <c r="G16" i="4" s="1"/>
  <c r="G17" i="4" s="1"/>
  <c r="G18" i="4" s="1"/>
  <c r="G12" i="4"/>
  <c r="G13" i="4"/>
  <c r="D37" i="3"/>
  <c r="G16" i="3"/>
  <c r="G17" i="3" s="1"/>
  <c r="G18" i="3" s="1"/>
  <c r="G19" i="3" s="1"/>
  <c r="B44" i="3" s="1"/>
  <c r="B43" i="3" l="1"/>
  <c r="B17" i="4"/>
  <c r="B16" i="4" l="1"/>
  <c r="B18" i="4"/>
  <c r="G19" i="4" s="1"/>
  <c r="G15" i="3"/>
  <c r="G13" i="3"/>
  <c r="B18" i="3" s="1"/>
  <c r="E47" i="6"/>
  <c r="D47" i="6" s="1"/>
  <c r="E46" i="6"/>
  <c r="D46" i="6" s="1"/>
  <c r="E45" i="6"/>
  <c r="D45" i="6" s="1"/>
  <c r="E44" i="6"/>
  <c r="D44" i="6" s="1"/>
  <c r="E43" i="6"/>
  <c r="D43" i="6" s="1"/>
  <c r="E42" i="6"/>
  <c r="D42" i="6" s="1"/>
  <c r="E41" i="6"/>
  <c r="D41" i="6" s="1"/>
  <c r="E40" i="6"/>
  <c r="D40" i="6" s="1"/>
  <c r="E39" i="6"/>
  <c r="D39" i="6" s="1"/>
  <c r="E38" i="6"/>
  <c r="D38" i="6" s="1"/>
  <c r="E37" i="6"/>
  <c r="D37" i="6" s="1"/>
  <c r="E36" i="6"/>
  <c r="D36" i="6" s="1"/>
  <c r="E35" i="6"/>
  <c r="D35" i="6" s="1"/>
  <c r="E34" i="6"/>
  <c r="D34" i="6" s="1"/>
  <c r="E33" i="6"/>
  <c r="D33" i="6" s="1"/>
  <c r="E32" i="6"/>
  <c r="D32" i="6" s="1"/>
  <c r="E31" i="6"/>
  <c r="D31" i="6" s="1"/>
  <c r="E30" i="6"/>
  <c r="D30" i="6" s="1"/>
  <c r="E29" i="6"/>
  <c r="D29" i="6" s="1"/>
  <c r="E28" i="6"/>
  <c r="D28" i="6" s="1"/>
  <c r="E27" i="6"/>
  <c r="D27" i="6" s="1"/>
  <c r="E26" i="6"/>
  <c r="D26" i="6" s="1"/>
  <c r="E25" i="6"/>
  <c r="D25" i="6" s="1"/>
  <c r="E24" i="6"/>
  <c r="D24" i="6" s="1"/>
  <c r="E23" i="6"/>
  <c r="D23" i="6" s="1"/>
  <c r="E22" i="6"/>
  <c r="D22" i="6" s="1"/>
  <c r="E21" i="6"/>
  <c r="D21" i="6" s="1"/>
  <c r="E20" i="6"/>
  <c r="D20" i="6" s="1"/>
  <c r="E19" i="6"/>
  <c r="D19" i="6" s="1"/>
  <c r="E18" i="6"/>
  <c r="D18" i="6" s="1"/>
  <c r="E17" i="6"/>
  <c r="D17" i="6" s="1"/>
  <c r="E16" i="6"/>
  <c r="D16" i="6" s="1"/>
  <c r="E15" i="6"/>
  <c r="D15" i="6" s="1"/>
  <c r="E14" i="6"/>
  <c r="D14" i="6" s="1"/>
  <c r="E13" i="6"/>
  <c r="D13" i="6" s="1"/>
  <c r="E12" i="6"/>
  <c r="D12" i="6" s="1"/>
  <c r="E11" i="6"/>
  <c r="D11" i="6" s="1"/>
  <c r="E10" i="6"/>
  <c r="D10" i="6" s="1"/>
  <c r="E9" i="6"/>
  <c r="D9" i="6" s="1"/>
  <c r="E8" i="6"/>
  <c r="D8" i="6" s="1"/>
  <c r="E47" i="5"/>
  <c r="D47" i="5" s="1"/>
  <c r="E46" i="5"/>
  <c r="D46" i="5" s="1"/>
  <c r="E45" i="5"/>
  <c r="D45" i="5" s="1"/>
  <c r="E44" i="5"/>
  <c r="D44" i="5" s="1"/>
  <c r="E43" i="5"/>
  <c r="D43" i="5" s="1"/>
  <c r="E42" i="5"/>
  <c r="D42" i="5" s="1"/>
  <c r="E41" i="5"/>
  <c r="D41" i="5" s="1"/>
  <c r="E40" i="5"/>
  <c r="D40" i="5" s="1"/>
  <c r="E39" i="5"/>
  <c r="D39" i="5" s="1"/>
  <c r="E38" i="5"/>
  <c r="D38" i="5" s="1"/>
  <c r="E37" i="5"/>
  <c r="D37" i="5" s="1"/>
  <c r="E36" i="5"/>
  <c r="D36" i="5" s="1"/>
  <c r="E35" i="5"/>
  <c r="D35" i="5" s="1"/>
  <c r="E34" i="5"/>
  <c r="D34" i="5" s="1"/>
  <c r="E33" i="5"/>
  <c r="D33" i="5" s="1"/>
  <c r="E32" i="5"/>
  <c r="D32" i="5" s="1"/>
  <c r="E31" i="5"/>
  <c r="D31" i="5" s="1"/>
  <c r="E30" i="5"/>
  <c r="D30" i="5" s="1"/>
  <c r="E29" i="5"/>
  <c r="D29" i="5" s="1"/>
  <c r="E28" i="5"/>
  <c r="D28" i="5" s="1"/>
  <c r="E27" i="5"/>
  <c r="D27" i="5" s="1"/>
  <c r="E26" i="5"/>
  <c r="D26" i="5" s="1"/>
  <c r="E25" i="5"/>
  <c r="D25" i="5" s="1"/>
  <c r="E24" i="5"/>
  <c r="D24" i="5" s="1"/>
  <c r="E23" i="5"/>
  <c r="D23" i="5" s="1"/>
  <c r="E22" i="5"/>
  <c r="D22" i="5" s="1"/>
  <c r="E21" i="5"/>
  <c r="D21" i="5" s="1"/>
  <c r="E20" i="5"/>
  <c r="D20" i="5" s="1"/>
  <c r="E19" i="5"/>
  <c r="D19" i="5" s="1"/>
  <c r="E18" i="5"/>
  <c r="D18" i="5" s="1"/>
  <c r="E17" i="5"/>
  <c r="D17" i="5" s="1"/>
  <c r="E16" i="5"/>
  <c r="D16" i="5" s="1"/>
  <c r="E15" i="5"/>
  <c r="D15" i="5" s="1"/>
  <c r="E14" i="5"/>
  <c r="D14" i="5" s="1"/>
  <c r="E13" i="5"/>
  <c r="D13" i="5" s="1"/>
  <c r="E12" i="5"/>
  <c r="D12" i="5" s="1"/>
  <c r="E11" i="5"/>
  <c r="D11" i="5" s="1"/>
  <c r="E10" i="5"/>
  <c r="D10" i="5" s="1"/>
  <c r="E9" i="5"/>
  <c r="D9" i="5" s="1"/>
  <c r="E8" i="5"/>
  <c r="D8" i="5" s="1"/>
  <c r="B42" i="3" l="1"/>
  <c r="B40" i="3"/>
  <c r="B21" i="3"/>
  <c r="B41" i="3"/>
  <c r="B39" i="3"/>
  <c r="B35" i="3"/>
  <c r="B36" i="4"/>
  <c r="B19" i="3"/>
  <c r="B17" i="3"/>
  <c r="B20" i="3" s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B22" i="3" l="1"/>
  <c r="B37" i="3"/>
  <c r="G14" i="4"/>
  <c r="D35" i="3"/>
  <c r="D33" i="3"/>
  <c r="G14" i="3"/>
  <c r="L35" i="3" l="1"/>
  <c r="L39" i="3" s="1"/>
  <c r="N34" i="4"/>
  <c r="N39" i="4" s="1"/>
  <c r="G20" i="4"/>
  <c r="B38" i="4" s="1"/>
  <c r="N36" i="3"/>
  <c r="N35" i="3"/>
  <c r="L34" i="4"/>
  <c r="L39" i="4" s="1"/>
  <c r="B32" i="4"/>
  <c r="B34" i="4"/>
  <c r="G39" i="4" l="1"/>
  <c r="N38" i="4"/>
  <c r="G40" i="4" s="1"/>
  <c r="F39" i="4"/>
  <c r="L38" i="4"/>
  <c r="F40" i="4" s="1"/>
  <c r="L40" i="3"/>
  <c r="F42" i="3" s="1"/>
  <c r="N40" i="3"/>
  <c r="G42" i="3" s="1"/>
  <c r="N39" i="3"/>
  <c r="G41" i="3" s="1"/>
  <c r="N37" i="3"/>
  <c r="N38" i="3" s="1"/>
  <c r="G39" i="3" s="1"/>
  <c r="B42" i="4"/>
  <c r="B41" i="4"/>
  <c r="B40" i="4"/>
  <c r="B43" i="4"/>
  <c r="B19" i="4"/>
  <c r="B39" i="4"/>
  <c r="N35" i="4"/>
  <c r="B21" i="4"/>
  <c r="B20" i="4"/>
  <c r="G40" i="3"/>
  <c r="F41" i="3"/>
  <c r="L36" i="3"/>
  <c r="L35" i="4"/>
  <c r="F41" i="4"/>
  <c r="G41" i="4"/>
  <c r="F40" i="3"/>
  <c r="B33" i="3"/>
  <c r="N36" i="4" l="1"/>
  <c r="N37" i="4" s="1"/>
  <c r="L37" i="3"/>
  <c r="L38" i="3" s="1"/>
  <c r="F39" i="3" s="1"/>
  <c r="L36" i="4"/>
  <c r="L37" i="4" s="1"/>
  <c r="F38" i="4" l="1"/>
  <c r="G38" i="4"/>
</calcChain>
</file>

<file path=xl/sharedStrings.xml><?xml version="1.0" encoding="utf-8"?>
<sst xmlns="http://schemas.openxmlformats.org/spreadsheetml/2006/main" count="210" uniqueCount="70">
  <si>
    <t>W</t>
  </si>
  <si>
    <t>V</t>
  </si>
  <si>
    <t>dB</t>
  </si>
  <si>
    <t>Pi Attenuator</t>
  </si>
  <si>
    <t>Input power</t>
  </si>
  <si>
    <t>Attenuation</t>
  </si>
  <si>
    <t>R2</t>
  </si>
  <si>
    <t>Auxiliary data</t>
  </si>
  <si>
    <t>Power dissipation R1</t>
  </si>
  <si>
    <t>Power dissipation R2</t>
  </si>
  <si>
    <t>Power dissipation R3</t>
  </si>
  <si>
    <t>Inputs are yellow</t>
  </si>
  <si>
    <t>Resistors in parallel to match calculated values and spread power dissipation</t>
  </si>
  <si>
    <t>R20 || R21</t>
  </si>
  <si>
    <t>R20</t>
  </si>
  <si>
    <t>R21</t>
  </si>
  <si>
    <t>Select R10…R31 to match calculations</t>
  </si>
  <si>
    <t>Power dissipation R10</t>
  </si>
  <si>
    <t>Power dissipation R11</t>
  </si>
  <si>
    <t>Power dissipation R20</t>
  </si>
  <si>
    <t>Power dissipation R21</t>
  </si>
  <si>
    <t>Power dissipation R30</t>
  </si>
  <si>
    <t>Power dissipation R31</t>
  </si>
  <si>
    <t>Calc real attenuation</t>
  </si>
  <si>
    <t>Vin</t>
  </si>
  <si>
    <t>Result:</t>
  </si>
  <si>
    <t>Impedance</t>
  </si>
  <si>
    <t>Ω</t>
  </si>
  <si>
    <t>Input voltage Uin</t>
  </si>
  <si>
    <t>Output voltage Uout</t>
  </si>
  <si>
    <t>https://www.microwaves101.com/encyclopedias/attenuator-dissipation</t>
  </si>
  <si>
    <t>Vout</t>
  </si>
  <si>
    <t>Sheet is protected (no password)</t>
  </si>
  <si>
    <t>Tee Attenuator</t>
  </si>
  <si>
    <t>Input return loss</t>
  </si>
  <si>
    <t>R3</t>
  </si>
  <si>
    <t>Z(in)</t>
  </si>
  <si>
    <t>Z(out)</t>
  </si>
  <si>
    <t>Z(Out)</t>
  </si>
  <si>
    <t>R1</t>
  </si>
  <si>
    <t>Loss (dB)</t>
  </si>
  <si>
    <t>lin. Loss</t>
  </si>
  <si>
    <t>R30 || R31</t>
  </si>
  <si>
    <t>R10 || R11</t>
  </si>
  <si>
    <t>R10</t>
  </si>
  <si>
    <t>R11</t>
  </si>
  <si>
    <t>R30</t>
  </si>
  <si>
    <t>R31</t>
  </si>
  <si>
    <t>Forward</t>
  </si>
  <si>
    <t>Reverse</t>
  </si>
  <si>
    <t>Return loss</t>
  </si>
  <si>
    <t>VSWR</t>
  </si>
  <si>
    <t>Power attenuation factor</t>
  </si>
  <si>
    <t>Voltage attenuation factor</t>
  </si>
  <si>
    <t>dBm</t>
  </si>
  <si>
    <t>https://chemandy.com/calculators/matching-t-attenuator-calculator.htm</t>
  </si>
  <si>
    <t>https://chemandy.com/calculators/matching-pi-attenuator-calculator.htm</t>
  </si>
  <si>
    <t>Input power (dBm)</t>
  </si>
  <si>
    <t>Output power (W)</t>
  </si>
  <si>
    <t>Output power (dBm)</t>
  </si>
  <si>
    <t>Resistance R2||(R3+Z1)</t>
  </si>
  <si>
    <t>Voltage at midpoint R1 - R3</t>
  </si>
  <si>
    <t>Input impedance Zin</t>
  </si>
  <si>
    <t>Output impedance Zout</t>
  </si>
  <si>
    <t>E24 standards</t>
  </si>
  <si>
    <t>E24 standard values</t>
  </si>
  <si>
    <t>R10||R11</t>
  </si>
  <si>
    <t>R20||R21</t>
  </si>
  <si>
    <t>R30||R31</t>
  </si>
  <si>
    <t>DL6GL, 13.04.2024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</si>
</sst>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164" fontId="0" fillId="0" borderId="0" xfId="0" applyNumberFormat="1"/>
    <xf numFmtId="2" fontId="1" fillId="3" borderId="1" xfId="0" applyNumberFormat="1" applyFont="1" applyFill="1" applyBorder="1"/>
    <xf numFmtId="2" fontId="0" fillId="3" borderId="1" xfId="0" applyNumberFormat="1" applyFill="1" applyBorder="1"/>
    <xf numFmtId="164" fontId="0" fillId="3" borderId="1" xfId="0" applyNumberFormat="1" applyFill="1" applyBorder="1"/>
    <xf numFmtId="2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1"/>
    <xf numFmtId="164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9" fillId="0" borderId="0" xfId="2"/>
    <xf numFmtId="2" fontId="9" fillId="0" borderId="0" xfId="2" applyNumberFormat="1"/>
    <xf numFmtId="0" fontId="9" fillId="0" borderId="6" xfId="2" applyBorder="1"/>
    <xf numFmtId="0" fontId="9" fillId="0" borderId="5" xfId="2" applyBorder="1"/>
    <xf numFmtId="0" fontId="9" fillId="0" borderId="8" xfId="2" applyBorder="1"/>
    <xf numFmtId="0" fontId="9" fillId="0" borderId="0" xfId="2" applyAlignment="1">
      <alignment horizontal="right"/>
    </xf>
    <xf numFmtId="0" fontId="9" fillId="0" borderId="9" xfId="2" applyBorder="1"/>
    <xf numFmtId="0" fontId="9" fillId="0" borderId="10" xfId="2" applyBorder="1"/>
    <xf numFmtId="0" fontId="9" fillId="0" borderId="0" xfId="2" applyAlignment="1">
      <alignment horizontal="center"/>
    </xf>
    <xf numFmtId="0" fontId="9" fillId="0" borderId="1" xfId="2" applyBorder="1" applyAlignment="1">
      <alignment horizontal="right"/>
    </xf>
    <xf numFmtId="165" fontId="9" fillId="0" borderId="1" xfId="2" applyNumberFormat="1" applyBorder="1" applyAlignment="1">
      <alignment horizontal="right"/>
    </xf>
    <xf numFmtId="165" fontId="9" fillId="0" borderId="1" xfId="2" applyNumberFormat="1" applyBorder="1"/>
    <xf numFmtId="0" fontId="9" fillId="0" borderId="2" xfId="2" applyBorder="1"/>
    <xf numFmtId="0" fontId="9" fillId="0" borderId="3" xfId="2" applyBorder="1"/>
    <xf numFmtId="0" fontId="0" fillId="2" borderId="5" xfId="0" applyFill="1" applyBorder="1"/>
    <xf numFmtId="0" fontId="8" fillId="0" borderId="0" xfId="0" applyFont="1"/>
    <xf numFmtId="2" fontId="0" fillId="0" borderId="0" xfId="0" applyNumberFormat="1"/>
    <xf numFmtId="2" fontId="0" fillId="0" borderId="0" xfId="0" applyNumberFormat="1" applyAlignment="1" applyProtection="1">
      <alignment horizontal="center"/>
      <protection locked="0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2" fontId="0" fillId="3" borderId="1" xfId="0" applyNumberFormat="1" applyFill="1" applyBorder="1" applyAlignment="1">
      <alignment horizontal="right"/>
    </xf>
    <xf numFmtId="0" fontId="10" fillId="0" borderId="3" xfId="0" applyFont="1" applyBorder="1"/>
    <xf numFmtId="164" fontId="0" fillId="0" borderId="4" xfId="0" applyNumberFormat="1" applyBorder="1"/>
    <xf numFmtId="164" fontId="5" fillId="0" borderId="2" xfId="0" applyNumberFormat="1" applyFont="1" applyBorder="1"/>
    <xf numFmtId="2" fontId="0" fillId="0" borderId="0" xfId="0" applyNumberFormat="1" applyProtection="1">
      <protection locked="0"/>
    </xf>
    <xf numFmtId="0" fontId="0" fillId="0" borderId="0" xfId="0" quotePrefix="1"/>
    <xf numFmtId="0" fontId="9" fillId="2" borderId="1" xfId="2" applyFill="1" applyBorder="1" applyProtection="1">
      <protection locked="0"/>
    </xf>
    <xf numFmtId="0" fontId="9" fillId="3" borderId="1" xfId="2" applyFill="1" applyBorder="1" applyAlignment="1">
      <alignment horizontal="right"/>
    </xf>
    <xf numFmtId="2" fontId="9" fillId="3" borderId="1" xfId="2" applyNumberForma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9" fillId="0" borderId="5" xfId="2" applyBorder="1" applyAlignment="1">
      <alignment horizontal="center"/>
    </xf>
    <xf numFmtId="0" fontId="9" fillId="0" borderId="7" xfId="2" applyBorder="1" applyAlignment="1">
      <alignment horizontal="center"/>
    </xf>
    <xf numFmtId="0" fontId="9" fillId="0" borderId="8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1" xfId="2" applyBorder="1" applyAlignment="1">
      <alignment horizontal="center" vertical="center"/>
    </xf>
    <xf numFmtId="0" fontId="9" fillId="0" borderId="12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10" dropStyle="combo" dx="16" fmlaRange="$P$17:$P$40" noThreeD="1" sel="18" val="11"/>
</file>

<file path=xl/ctrlProps/ctrlProp2.xml><?xml version="1.0" encoding="utf-8"?>
<formControlPr xmlns="http://schemas.microsoft.com/office/spreadsheetml/2009/9/main" objectType="Drop" dropLines="10" dropStyle="combo" dx="16" fmlaRange="$P$16:$P$39" noThreeD="1" sel="17" val="7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9525</xdr:rowOff>
        </xdr:from>
        <xdr:to>
          <xdr:col>2</xdr:col>
          <xdr:colOff>180975</xdr:colOff>
          <xdr:row>31</xdr:row>
          <xdr:rowOff>38100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123825</xdr:rowOff>
        </xdr:from>
        <xdr:to>
          <xdr:col>2</xdr:col>
          <xdr:colOff>190500</xdr:colOff>
          <xdr:row>10</xdr:row>
          <xdr:rowOff>171450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25</xdr:row>
          <xdr:rowOff>180975</xdr:rowOff>
        </xdr:from>
        <xdr:to>
          <xdr:col>7</xdr:col>
          <xdr:colOff>9525</xdr:colOff>
          <xdr:row>27</xdr:row>
          <xdr:rowOff>19050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104775</xdr:rowOff>
        </xdr:from>
        <xdr:to>
          <xdr:col>2</xdr:col>
          <xdr:colOff>228600</xdr:colOff>
          <xdr:row>29</xdr:row>
          <xdr:rowOff>76200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104775</xdr:rowOff>
        </xdr:from>
        <xdr:to>
          <xdr:col>3</xdr:col>
          <xdr:colOff>142875</xdr:colOff>
          <xdr:row>9</xdr:row>
          <xdr:rowOff>142875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180975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s://chemandy.com/calculators/matching-pi-attenuator-calculator.htm" TargetMode="External"/><Relationship Id="rId1" Type="http://schemas.openxmlformats.org/officeDocument/2006/relationships/hyperlink" Target="https://www.microwaves101.com/encyclopedias/attenuator-dissipation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1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printerSettings" Target="../printerSettings/printerSettings2.bin"/><Relationship Id="rId7" Type="http://schemas.openxmlformats.org/officeDocument/2006/relationships/image" Target="../media/image3.emf"/><Relationship Id="rId2" Type="http://schemas.openxmlformats.org/officeDocument/2006/relationships/hyperlink" Target="https://chemandy.com/calculators/matching-t-attenuator-calculator.htm" TargetMode="External"/><Relationship Id="rId1" Type="http://schemas.openxmlformats.org/officeDocument/2006/relationships/hyperlink" Target="https://www.microwaves101.com/encyclopedias/attenuator-dissipation" TargetMode="External"/><Relationship Id="rId6" Type="http://schemas.openxmlformats.org/officeDocument/2006/relationships/oleObject" Target="../embeddings/oleObject3.bin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2.xml"/><Relationship Id="rId4" Type="http://schemas.openxmlformats.org/officeDocument/2006/relationships/drawing" Target="../drawings/drawing2.x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showGridLines="0" tabSelected="1" workbookViewId="0">
      <pane ySplit="11" topLeftCell="A12" activePane="bottomLeft" state="frozen"/>
      <selection pane="bottomLeft" activeCell="B13" sqref="B13"/>
    </sheetView>
  </sheetViews>
  <sheetFormatPr baseColWidth="10" defaultRowHeight="15" x14ac:dyDescent="0.25"/>
  <cols>
    <col min="1" max="1" width="23.140625" customWidth="1"/>
    <col min="2" max="2" width="8.7109375" customWidth="1"/>
    <col min="3" max="3" width="6.7109375" customWidth="1"/>
    <col min="4" max="9" width="8.7109375" customWidth="1"/>
    <col min="12" max="12" width="11.42578125" customWidth="1"/>
    <col min="13" max="13" width="7.42578125" customWidth="1"/>
    <col min="16" max="16" width="11.42578125" customWidth="1"/>
    <col min="17" max="17" width="11.42578125" style="6"/>
  </cols>
  <sheetData>
    <row r="1" spans="1:16" x14ac:dyDescent="0.25">
      <c r="A1" s="1" t="s">
        <v>3</v>
      </c>
      <c r="G1" s="17" t="s">
        <v>69</v>
      </c>
    </row>
    <row r="2" spans="1:16" x14ac:dyDescent="0.25">
      <c r="A2" s="1"/>
      <c r="F2" s="17"/>
    </row>
    <row r="3" spans="1:16" x14ac:dyDescent="0.25">
      <c r="A3" s="24" t="s">
        <v>30</v>
      </c>
    </row>
    <row r="4" spans="1:16" x14ac:dyDescent="0.25">
      <c r="A4" s="24" t="s">
        <v>56</v>
      </c>
    </row>
    <row r="5" spans="1:16" ht="15" customHeight="1" x14ac:dyDescent="0.25"/>
    <row r="7" spans="1:16" x14ac:dyDescent="0.25">
      <c r="M7" s="54"/>
      <c r="N7" s="2"/>
    </row>
    <row r="8" spans="1:16" x14ac:dyDescent="0.25">
      <c r="G8" s="59" t="s">
        <v>32</v>
      </c>
      <c r="M8" s="54"/>
      <c r="N8" s="2"/>
      <c r="P8" s="55"/>
    </row>
    <row r="9" spans="1:16" x14ac:dyDescent="0.25">
      <c r="M9" s="54"/>
    </row>
    <row r="10" spans="1:16" x14ac:dyDescent="0.25">
      <c r="M10" s="54"/>
    </row>
    <row r="11" spans="1:16" x14ac:dyDescent="0.25">
      <c r="P11" s="55"/>
    </row>
    <row r="12" spans="1:16" x14ac:dyDescent="0.25">
      <c r="A12" s="42" t="s">
        <v>11</v>
      </c>
      <c r="D12" t="s">
        <v>7</v>
      </c>
    </row>
    <row r="13" spans="1:16" x14ac:dyDescent="0.25">
      <c r="A13" s="3" t="s">
        <v>62</v>
      </c>
      <c r="B13" s="10">
        <v>50</v>
      </c>
      <c r="C13" s="2" t="s">
        <v>0</v>
      </c>
      <c r="D13" s="12" t="s">
        <v>52</v>
      </c>
      <c r="E13" s="14"/>
      <c r="F13" s="11"/>
      <c r="G13" s="9">
        <f>10^(B16/10)</f>
        <v>25.118864315095799</v>
      </c>
      <c r="M13" s="44"/>
    </row>
    <row r="14" spans="1:16" x14ac:dyDescent="0.25">
      <c r="A14" s="3" t="s">
        <v>63</v>
      </c>
      <c r="B14" s="10">
        <v>100</v>
      </c>
      <c r="C14" s="2" t="s">
        <v>0</v>
      </c>
      <c r="D14" s="12" t="s">
        <v>53</v>
      </c>
      <c r="E14" s="14"/>
      <c r="F14" s="11"/>
      <c r="G14" s="9">
        <f>10^(B16/20)</f>
        <v>5.0118723362727229</v>
      </c>
    </row>
    <row r="15" spans="1:16" x14ac:dyDescent="0.25">
      <c r="A15" s="3" t="s">
        <v>4</v>
      </c>
      <c r="B15" s="10">
        <v>3</v>
      </c>
      <c r="C15" t="s">
        <v>0</v>
      </c>
      <c r="D15" s="12" t="s">
        <v>28</v>
      </c>
      <c r="E15" s="14"/>
      <c r="F15" s="11"/>
      <c r="G15" s="9">
        <f>SQRT(B15*B13)</f>
        <v>12.24744871391589</v>
      </c>
      <c r="H15" t="s">
        <v>1</v>
      </c>
    </row>
    <row r="16" spans="1:16" x14ac:dyDescent="0.25">
      <c r="A16" s="3" t="s">
        <v>5</v>
      </c>
      <c r="B16" s="10">
        <v>14</v>
      </c>
      <c r="C16" t="s">
        <v>2</v>
      </c>
      <c r="D16" s="12" t="s">
        <v>57</v>
      </c>
      <c r="E16" s="14"/>
      <c r="F16" s="11"/>
      <c r="G16" s="9">
        <f>10*LOG10(B15)+30</f>
        <v>34.771212547196626</v>
      </c>
      <c r="H16" t="s">
        <v>54</v>
      </c>
      <c r="M16" s="44"/>
      <c r="P16" s="21" t="s">
        <v>64</v>
      </c>
    </row>
    <row r="17" spans="1:16" x14ac:dyDescent="0.25">
      <c r="A17" s="5" t="s">
        <v>39</v>
      </c>
      <c r="B17" s="7">
        <f>1/((G13+1)/(B13*(G13-1))-1/B18)</f>
        <v>63.367285211763246</v>
      </c>
      <c r="C17" s="2" t="s">
        <v>0</v>
      </c>
      <c r="D17" s="12" t="s">
        <v>59</v>
      </c>
      <c r="E17" s="14"/>
      <c r="F17" s="11"/>
      <c r="G17" s="9">
        <f>G16-B16</f>
        <v>20.771212547196626</v>
      </c>
      <c r="H17" t="s">
        <v>54</v>
      </c>
      <c r="P17" s="19">
        <v>10</v>
      </c>
    </row>
    <row r="18" spans="1:16" x14ac:dyDescent="0.25">
      <c r="A18" s="5" t="s">
        <v>6</v>
      </c>
      <c r="B18" s="7">
        <f>0.5*(G13-1)*SQRT(B13*B14/G13)</f>
        <v>170.14212820518301</v>
      </c>
      <c r="C18" s="2" t="s">
        <v>0</v>
      </c>
      <c r="D18" s="12" t="s">
        <v>58</v>
      </c>
      <c r="E18" s="14"/>
      <c r="F18" s="11"/>
      <c r="G18" s="9">
        <f>0.001*10^(G17/10)</f>
        <v>0.1194321511660493</v>
      </c>
      <c r="H18" t="s">
        <v>0</v>
      </c>
      <c r="P18" s="19">
        <v>11</v>
      </c>
    </row>
    <row r="19" spans="1:16" x14ac:dyDescent="0.25">
      <c r="A19" s="5" t="s">
        <v>35</v>
      </c>
      <c r="B19" s="7">
        <f>1/((G13+1)/(B14*(G13-1))-1/B18)</f>
        <v>201.94728387806947</v>
      </c>
      <c r="C19" s="2" t="s">
        <v>0</v>
      </c>
      <c r="D19" s="51" t="s">
        <v>29</v>
      </c>
      <c r="E19" s="52"/>
      <c r="F19" s="11"/>
      <c r="G19" s="9">
        <f>SQRT(G18*B14)</f>
        <v>3.4558957039535976</v>
      </c>
      <c r="H19" t="s">
        <v>1</v>
      </c>
      <c r="M19" s="44"/>
      <c r="P19" s="19">
        <v>12</v>
      </c>
    </row>
    <row r="20" spans="1:16" x14ac:dyDescent="0.25">
      <c r="A20" s="3" t="s">
        <v>8</v>
      </c>
      <c r="B20" s="8">
        <f>G15^2/B17</f>
        <v>2.3671520643297908</v>
      </c>
      <c r="C20" t="s">
        <v>0</v>
      </c>
      <c r="D20" s="43"/>
      <c r="E20" s="6"/>
      <c r="P20" s="19">
        <v>13</v>
      </c>
    </row>
    <row r="21" spans="1:16" x14ac:dyDescent="0.25">
      <c r="A21" s="3" t="s">
        <v>9</v>
      </c>
      <c r="B21" s="8">
        <f>(G15-G19)^2/B18</f>
        <v>0.45427552330700499</v>
      </c>
      <c r="C21" t="s">
        <v>0</v>
      </c>
      <c r="N21" s="2"/>
      <c r="P21" s="19">
        <v>15</v>
      </c>
    </row>
    <row r="22" spans="1:16" x14ac:dyDescent="0.25">
      <c r="A22" s="3" t="s">
        <v>10</v>
      </c>
      <c r="B22" s="8">
        <f>G19^2/B19</f>
        <v>5.914026119715448E-2</v>
      </c>
      <c r="C22" t="s">
        <v>0</v>
      </c>
      <c r="P22" s="19">
        <v>16</v>
      </c>
    </row>
    <row r="23" spans="1:16" x14ac:dyDescent="0.25">
      <c r="P23" s="19">
        <v>18</v>
      </c>
    </row>
    <row r="24" spans="1:16" x14ac:dyDescent="0.25">
      <c r="A24" s="18" t="s">
        <v>12</v>
      </c>
      <c r="P24" s="19">
        <v>20</v>
      </c>
    </row>
    <row r="25" spans="1:16" x14ac:dyDescent="0.25">
      <c r="P25" s="19">
        <v>22</v>
      </c>
    </row>
    <row r="26" spans="1:16" x14ac:dyDescent="0.25">
      <c r="P26" s="19">
        <v>24</v>
      </c>
    </row>
    <row r="27" spans="1:16" x14ac:dyDescent="0.25">
      <c r="D27" s="18" t="s">
        <v>65</v>
      </c>
      <c r="P27" s="19">
        <v>27</v>
      </c>
    </row>
    <row r="28" spans="1:16" x14ac:dyDescent="0.25">
      <c r="P28" s="19">
        <v>30</v>
      </c>
    </row>
    <row r="29" spans="1:16" x14ac:dyDescent="0.25">
      <c r="P29" s="19">
        <v>33</v>
      </c>
    </row>
    <row r="30" spans="1:16" x14ac:dyDescent="0.25">
      <c r="P30" s="19">
        <v>36</v>
      </c>
    </row>
    <row r="31" spans="1:16" x14ac:dyDescent="0.25">
      <c r="D31" s="18" t="s">
        <v>16</v>
      </c>
      <c r="P31" s="19">
        <v>39</v>
      </c>
    </row>
    <row r="32" spans="1:16" x14ac:dyDescent="0.25">
      <c r="D32" t="s">
        <v>66</v>
      </c>
      <c r="E32" s="15" t="s">
        <v>44</v>
      </c>
      <c r="F32" s="15" t="s">
        <v>45</v>
      </c>
      <c r="P32" s="19">
        <v>43</v>
      </c>
    </row>
    <row r="33" spans="1:16" x14ac:dyDescent="0.25">
      <c r="A33" s="3" t="s">
        <v>43</v>
      </c>
      <c r="B33" s="8">
        <f>B17</f>
        <v>63.367285211763246</v>
      </c>
      <c r="C33" s="2" t="s">
        <v>0</v>
      </c>
      <c r="D33" s="8">
        <f>IF(F33="",E33,(E33*F33)/(E33+F33))</f>
        <v>63.46153846153846</v>
      </c>
      <c r="E33" s="10">
        <v>150</v>
      </c>
      <c r="F33" s="10">
        <v>110</v>
      </c>
      <c r="G33" s="2" t="s">
        <v>0</v>
      </c>
      <c r="H33" s="19"/>
      <c r="K33" s="19" t="s">
        <v>23</v>
      </c>
      <c r="L33" s="19"/>
      <c r="M33" s="19"/>
      <c r="P33" s="19">
        <v>47</v>
      </c>
    </row>
    <row r="34" spans="1:16" x14ac:dyDescent="0.25">
      <c r="A34" s="12"/>
      <c r="B34" s="13"/>
      <c r="D34" s="14" t="s">
        <v>67</v>
      </c>
      <c r="E34" s="16" t="s">
        <v>14</v>
      </c>
      <c r="F34" s="16" t="s">
        <v>15</v>
      </c>
      <c r="H34" s="20"/>
      <c r="K34" s="19" t="s">
        <v>48</v>
      </c>
      <c r="L34" s="19"/>
      <c r="M34" s="19"/>
      <c r="N34" s="19" t="s">
        <v>49</v>
      </c>
      <c r="O34" s="19"/>
      <c r="P34" s="19">
        <v>51</v>
      </c>
    </row>
    <row r="35" spans="1:16" x14ac:dyDescent="0.25">
      <c r="A35" s="3" t="s">
        <v>13</v>
      </c>
      <c r="B35" s="8">
        <f>B18</f>
        <v>170.14212820518301</v>
      </c>
      <c r="C35" s="2" t="s">
        <v>0</v>
      </c>
      <c r="D35" s="8">
        <f>IF(F35="",E35,(E35*F35)/(E35+F35))</f>
        <v>171.48648648648648</v>
      </c>
      <c r="E35" s="10">
        <v>470</v>
      </c>
      <c r="F35" s="10">
        <v>270</v>
      </c>
      <c r="G35" s="2" t="s">
        <v>0</v>
      </c>
      <c r="H35" s="20"/>
      <c r="K35" s="19" t="s">
        <v>26</v>
      </c>
      <c r="L35" s="25">
        <f>(D33*(D35*B14+D35*D37+D37*B14))/(D37*B14+((D35+D33)*(B14+D37)))</f>
        <v>50.110604946457499</v>
      </c>
      <c r="M35" s="19"/>
      <c r="N35" s="25">
        <f>1/((1/D37)+(1/(D35+(1/((1/D33)+(1/B13))))))</f>
        <v>99.951921129291833</v>
      </c>
      <c r="O35" s="19"/>
      <c r="P35" s="19">
        <v>56</v>
      </c>
    </row>
    <row r="36" spans="1:16" x14ac:dyDescent="0.25">
      <c r="B36" s="44"/>
      <c r="C36" s="2"/>
      <c r="D36" s="13" t="s">
        <v>68</v>
      </c>
      <c r="E36" s="45" t="s">
        <v>46</v>
      </c>
      <c r="F36" s="45" t="s">
        <v>47</v>
      </c>
      <c r="G36" s="2"/>
      <c r="H36" s="20"/>
      <c r="K36" s="19" t="s">
        <v>24</v>
      </c>
      <c r="L36" s="48">
        <f>2-((2*B13)/(B13*L35))</f>
        <v>1.9600882886539293</v>
      </c>
      <c r="M36" s="19"/>
      <c r="N36" s="25">
        <f>2-(2/(B14+(1/((1/D37)+(1/(D35+(1/((1/D33)+(1/B13))))))))*B14)</f>
        <v>0.99975954784311827</v>
      </c>
      <c r="O36" s="19"/>
      <c r="P36" s="19">
        <v>62</v>
      </c>
    </row>
    <row r="37" spans="1:16" x14ac:dyDescent="0.25">
      <c r="A37" s="3" t="s">
        <v>42</v>
      </c>
      <c r="B37" s="8">
        <f>B19</f>
        <v>201.94728387806947</v>
      </c>
      <c r="C37" s="2"/>
      <c r="D37" s="8">
        <f t="shared" ref="D37" si="0">IF(F37="",E37,(E37*F37)/(E37+F37))</f>
        <v>200.35714285714286</v>
      </c>
      <c r="E37" s="10">
        <v>510</v>
      </c>
      <c r="F37" s="10">
        <v>330</v>
      </c>
      <c r="G37" s="2"/>
      <c r="H37" s="20"/>
      <c r="K37" s="19" t="s">
        <v>31</v>
      </c>
      <c r="L37" s="48">
        <f>(L36*D37*B14)/(D35*(B14+D37)+D37*B14)</f>
        <v>0.5489261122917386</v>
      </c>
      <c r="M37" s="19"/>
      <c r="N37" s="25">
        <f>N36*(1/((1/D33)+(1/B13)))/(1/(((1/D33)+(1/B13)))+D35)</f>
        <v>0.14018056842668863</v>
      </c>
      <c r="O37" s="19"/>
      <c r="P37" s="19">
        <v>68</v>
      </c>
    </row>
    <row r="38" spans="1:16" x14ac:dyDescent="0.25">
      <c r="D38" s="18" t="s">
        <v>25</v>
      </c>
      <c r="F38" s="49" t="s">
        <v>48</v>
      </c>
      <c r="G38" s="18" t="s">
        <v>49</v>
      </c>
      <c r="H38" s="20"/>
      <c r="K38" s="19" t="s">
        <v>5</v>
      </c>
      <c r="L38" s="48">
        <f>10*LOG10((L36^2/L35)/(L37^2/B14))</f>
        <v>14.055938408205947</v>
      </c>
      <c r="M38" s="19"/>
      <c r="N38" s="25">
        <f>10*LOG10((N36^2/N35)/(N37^2/B13))</f>
        <v>14.055943458300499</v>
      </c>
      <c r="O38" s="19"/>
      <c r="P38" s="19">
        <v>75</v>
      </c>
    </row>
    <row r="39" spans="1:16" x14ac:dyDescent="0.25">
      <c r="A39" s="3" t="s">
        <v>17</v>
      </c>
      <c r="B39" s="8">
        <f>IF(E33="","",G15^2/E33)</f>
        <v>1</v>
      </c>
      <c r="C39" t="s">
        <v>0</v>
      </c>
      <c r="D39" s="22" t="s">
        <v>5</v>
      </c>
      <c r="F39" s="46">
        <f>L38</f>
        <v>14.055938408205947</v>
      </c>
      <c r="G39" s="8">
        <f>N38</f>
        <v>14.055943458300499</v>
      </c>
      <c r="H39" t="s">
        <v>2</v>
      </c>
      <c r="K39" s="19" t="s">
        <v>50</v>
      </c>
      <c r="L39" s="25">
        <f>IF((L35-B13)/(L35+B13)&gt;0,-1*20*LOG10((L35-B13)/(L35+B13)),-1*20*LOG10(-1*(L35-B13)/(L35+B13)))</f>
        <v>59.134110717488326</v>
      </c>
      <c r="M39" s="19"/>
      <c r="N39" s="25">
        <f>IF((N35-B14)/(N35+B14)&gt;0,-1*20*LOG10((N35-B14)/(N35+B14)),-1*20*LOG10(-1*(N35-B14)/(N35+B14)))</f>
        <v>72.379426458092013</v>
      </c>
      <c r="O39" s="19"/>
      <c r="P39" s="19">
        <v>82</v>
      </c>
    </row>
    <row r="40" spans="1:16" x14ac:dyDescent="0.25">
      <c r="A40" s="3" t="s">
        <v>18</v>
      </c>
      <c r="B40" s="8">
        <f>IF(F33="","",G15^2/F33)</f>
        <v>1.3636363636363635</v>
      </c>
      <c r="C40" t="s">
        <v>0</v>
      </c>
      <c r="D40" s="22" t="s">
        <v>26</v>
      </c>
      <c r="F40" s="46">
        <f>L35</f>
        <v>50.110604946457499</v>
      </c>
      <c r="G40" s="8">
        <f>N35</f>
        <v>99.951921129291833</v>
      </c>
      <c r="H40" s="23" t="s">
        <v>27</v>
      </c>
      <c r="K40" s="19" t="s">
        <v>51</v>
      </c>
      <c r="L40" s="25">
        <f>IF((L35-B13)/(L35+B13)&gt;0,(1+(L35-B13)/(L35+B13))/(1-(L35-B13)/(L35+B13)),(1-(L35-B13)/(L35+B13))/(1+(L35-B13)/(L35+B13)))</f>
        <v>1.0022120989291501</v>
      </c>
      <c r="M40" s="19"/>
      <c r="N40" s="25">
        <f>IF((N35-B14)/(N35+B14)&gt;0,(1+(N35-B14)/(N35+B14))/(1-(N35-B14)/(N35+B14)),(1-(N35-B14)/(N35+B14))/(1+(N35-B14)/(N35+B14)))</f>
        <v>1.0004810199760541</v>
      </c>
      <c r="O40" s="19"/>
      <c r="P40" s="19">
        <v>91</v>
      </c>
    </row>
    <row r="41" spans="1:16" x14ac:dyDescent="0.25">
      <c r="A41" s="3" t="s">
        <v>19</v>
      </c>
      <c r="B41" s="8">
        <f>IF(E35="","",(G15-G19)^2/E35)</f>
        <v>0.16444979644037669</v>
      </c>
      <c r="C41" t="s">
        <v>0</v>
      </c>
      <c r="D41" s="18" t="s">
        <v>50</v>
      </c>
      <c r="F41" s="47">
        <f>L39</f>
        <v>59.134110717488326</v>
      </c>
      <c r="G41" s="8">
        <f>N39</f>
        <v>72.379426458092013</v>
      </c>
      <c r="H41" s="23" t="s">
        <v>2</v>
      </c>
      <c r="K41" s="19"/>
      <c r="L41" s="26"/>
      <c r="M41" s="19"/>
    </row>
    <row r="42" spans="1:16" x14ac:dyDescent="0.25">
      <c r="A42" s="3" t="s">
        <v>20</v>
      </c>
      <c r="B42" s="8">
        <f>IF(F35="","",(G15-G19)^2/F35)</f>
        <v>0.28626446047028536</v>
      </c>
      <c r="C42" t="s">
        <v>0</v>
      </c>
      <c r="D42" s="18" t="s">
        <v>51</v>
      </c>
      <c r="F42" s="8">
        <f>L40</f>
        <v>1.0022120989291501</v>
      </c>
      <c r="G42" s="8">
        <f>N40</f>
        <v>1.0004810199760541</v>
      </c>
      <c r="H42" s="20"/>
      <c r="K42" s="19"/>
      <c r="L42" s="21"/>
      <c r="M42" s="19"/>
    </row>
    <row r="43" spans="1:16" x14ac:dyDescent="0.25">
      <c r="A43" s="3" t="s">
        <v>21</v>
      </c>
      <c r="B43" s="8">
        <f>IF(E37="","",G19^2/E37)</f>
        <v>2.3418068856088103E-2</v>
      </c>
      <c r="C43" t="s">
        <v>0</v>
      </c>
      <c r="K43" s="19"/>
      <c r="L43" s="21"/>
    </row>
    <row r="44" spans="1:16" x14ac:dyDescent="0.25">
      <c r="A44" s="3" t="s">
        <v>22</v>
      </c>
      <c r="B44" s="8">
        <f>IF(F37="","",G19^2/F37)</f>
        <v>3.6191560959408883E-2</v>
      </c>
      <c r="C44" t="s">
        <v>0</v>
      </c>
      <c r="K44" s="19"/>
      <c r="L44" s="27"/>
    </row>
  </sheetData>
  <sheetProtection sheet="1" objects="1" scenarios="1"/>
  <hyperlinks>
    <hyperlink ref="A3" r:id="rId1" xr:uid="{00000000-0004-0000-0000-000000000000}"/>
    <hyperlink ref="A4" r:id="rId2" xr:uid="{00000000-0004-0000-0000-000001000000}"/>
  </hyperlinks>
  <pageMargins left="0.9055118110236221" right="0.31496062992125984" top="0.78740157480314965" bottom="0.78740157480314965" header="0.31496062992125984" footer="0.31496062992125984"/>
  <pageSetup paperSize="9" orientation="portrait" r:id="rId3"/>
  <drawing r:id="rId4"/>
  <legacyDrawing r:id="rId5"/>
  <oleObjects>
    <mc:AlternateContent xmlns:mc="http://schemas.openxmlformats.org/markup-compatibility/2006">
      <mc:Choice Requires="x14">
        <oleObject progId="Visio.Drawing.6" shapeId="3076" r:id="rId6">
          <objectPr defaultSize="0" autoPict="0" r:id="rId7">
            <anchor moveWithCells="1">
              <from>
                <xdr:col>0</xdr:col>
                <xdr:colOff>0</xdr:colOff>
                <xdr:row>24</xdr:row>
                <xdr:rowOff>9525</xdr:rowOff>
              </from>
              <to>
                <xdr:col>2</xdr:col>
                <xdr:colOff>180975</xdr:colOff>
                <xdr:row>31</xdr:row>
                <xdr:rowOff>38100</xdr:rowOff>
              </to>
            </anchor>
          </objectPr>
        </oleObject>
      </mc:Choice>
      <mc:Fallback>
        <oleObject progId="Visio.Drawing.6" shapeId="3076" r:id="rId6"/>
      </mc:Fallback>
    </mc:AlternateContent>
    <mc:AlternateContent xmlns:mc="http://schemas.openxmlformats.org/markup-compatibility/2006">
      <mc:Choice Requires="x14">
        <oleObject progId="Visio.Drawing.6" shapeId="3079" r:id="rId8">
          <objectPr defaultSize="0" autoPict="0" r:id="rId9">
            <anchor moveWithCells="1">
              <from>
                <xdr:col>0</xdr:col>
                <xdr:colOff>19050</xdr:colOff>
                <xdr:row>4</xdr:row>
                <xdr:rowOff>123825</xdr:rowOff>
              </from>
              <to>
                <xdr:col>2</xdr:col>
                <xdr:colOff>190500</xdr:colOff>
                <xdr:row>10</xdr:row>
                <xdr:rowOff>171450</xdr:rowOff>
              </to>
            </anchor>
          </objectPr>
        </oleObject>
      </mc:Choice>
      <mc:Fallback>
        <oleObject progId="Visio.Drawing.6" shapeId="3079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10" name="Drop Down 8">
              <controlPr defaultSize="0" autoLine="0" autoPict="0">
                <anchor moveWithCells="1">
                  <from>
                    <xdr:col>5</xdr:col>
                    <xdr:colOff>571500</xdr:colOff>
                    <xdr:row>25</xdr:row>
                    <xdr:rowOff>180975</xdr:rowOff>
                  </from>
                  <to>
                    <xdr:col>7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workbookViewId="0">
      <pane ySplit="10" topLeftCell="A11" activePane="bottomLeft" state="frozen"/>
      <selection pane="bottomLeft" activeCell="B12" sqref="B12"/>
    </sheetView>
  </sheetViews>
  <sheetFormatPr baseColWidth="10" defaultRowHeight="15" x14ac:dyDescent="0.25"/>
  <cols>
    <col min="1" max="1" width="23.140625" customWidth="1"/>
    <col min="2" max="2" width="8.7109375" customWidth="1"/>
    <col min="3" max="3" width="6.7109375" customWidth="1"/>
    <col min="4" max="10" width="8.7109375" customWidth="1"/>
    <col min="11" max="11" width="12.140625" customWidth="1"/>
    <col min="12" max="12" width="8.7109375" customWidth="1"/>
    <col min="13" max="13" width="4.28515625" customWidth="1"/>
    <col min="14" max="16" width="8.7109375" customWidth="1"/>
    <col min="20" max="20" width="21.140625" customWidth="1"/>
  </cols>
  <sheetData>
    <row r="1" spans="1:18" x14ac:dyDescent="0.25">
      <c r="A1" s="1" t="s">
        <v>33</v>
      </c>
      <c r="G1" s="17" t="s">
        <v>69</v>
      </c>
    </row>
    <row r="2" spans="1:18" x14ac:dyDescent="0.25">
      <c r="A2" s="1"/>
      <c r="F2" s="17"/>
    </row>
    <row r="3" spans="1:18" x14ac:dyDescent="0.25">
      <c r="A3" s="24" t="s">
        <v>30</v>
      </c>
    </row>
    <row r="4" spans="1:18" x14ac:dyDescent="0.25">
      <c r="A4" s="24" t="s">
        <v>55</v>
      </c>
    </row>
    <row r="5" spans="1:18" ht="28.5" customHeight="1" x14ac:dyDescent="0.25">
      <c r="Q5" s="54"/>
      <c r="R5" s="2"/>
    </row>
    <row r="6" spans="1:18" x14ac:dyDescent="0.25">
      <c r="Q6" s="54"/>
      <c r="R6" s="2"/>
    </row>
    <row r="7" spans="1:18" x14ac:dyDescent="0.25">
      <c r="G7" s="59" t="s">
        <v>32</v>
      </c>
      <c r="Q7" s="54"/>
    </row>
    <row r="8" spans="1:18" x14ac:dyDescent="0.25">
      <c r="Q8" s="54"/>
    </row>
    <row r="11" spans="1:18" x14ac:dyDescent="0.25">
      <c r="A11" s="4" t="s">
        <v>11</v>
      </c>
      <c r="D11" t="s">
        <v>7</v>
      </c>
    </row>
    <row r="12" spans="1:18" x14ac:dyDescent="0.25">
      <c r="A12" s="3" t="s">
        <v>62</v>
      </c>
      <c r="B12" s="10">
        <v>50</v>
      </c>
      <c r="C12" s="2" t="s">
        <v>0</v>
      </c>
      <c r="D12" s="12" t="s">
        <v>52</v>
      </c>
      <c r="E12" s="14"/>
      <c r="F12" s="11"/>
      <c r="G12" s="9">
        <f>10^(B15/10)</f>
        <v>25.118864315095799</v>
      </c>
    </row>
    <row r="13" spans="1:18" x14ac:dyDescent="0.25">
      <c r="A13" s="3" t="s">
        <v>63</v>
      </c>
      <c r="B13" s="10">
        <v>100</v>
      </c>
      <c r="C13" s="2" t="s">
        <v>0</v>
      </c>
      <c r="D13" s="12" t="s">
        <v>53</v>
      </c>
      <c r="E13" s="14"/>
      <c r="F13" s="11"/>
      <c r="G13" s="9">
        <f>10^(B15/20)</f>
        <v>5.0118723362727229</v>
      </c>
    </row>
    <row r="14" spans="1:18" x14ac:dyDescent="0.25">
      <c r="A14" s="3" t="s">
        <v>4</v>
      </c>
      <c r="B14" s="10">
        <v>3</v>
      </c>
      <c r="C14" t="s">
        <v>0</v>
      </c>
      <c r="D14" s="12" t="s">
        <v>28</v>
      </c>
      <c r="E14" s="14"/>
      <c r="F14" s="11"/>
      <c r="G14" s="9">
        <f>SQRT(B14*B12)</f>
        <v>12.24744871391589</v>
      </c>
      <c r="H14" t="s">
        <v>1</v>
      </c>
    </row>
    <row r="15" spans="1:18" x14ac:dyDescent="0.25">
      <c r="A15" s="3" t="s">
        <v>5</v>
      </c>
      <c r="B15" s="10">
        <v>14</v>
      </c>
      <c r="C15" t="s">
        <v>2</v>
      </c>
      <c r="D15" s="12" t="s">
        <v>57</v>
      </c>
      <c r="E15" s="14"/>
      <c r="F15" s="11"/>
      <c r="G15" s="9">
        <f>10*LOG(B14)+30</f>
        <v>34.771212547196626</v>
      </c>
      <c r="H15" t="s">
        <v>54</v>
      </c>
      <c r="P15" s="21" t="s">
        <v>64</v>
      </c>
    </row>
    <row r="16" spans="1:18" x14ac:dyDescent="0.25">
      <c r="A16" s="5" t="s">
        <v>39</v>
      </c>
      <c r="B16" s="7">
        <f>B12*(G12+1)/(G12-1)-B17</f>
        <v>24.758936609510776</v>
      </c>
      <c r="C16" s="2" t="s">
        <v>0</v>
      </c>
      <c r="D16" s="12" t="s">
        <v>59</v>
      </c>
      <c r="E16" s="14"/>
      <c r="F16" s="14"/>
      <c r="G16" s="9">
        <f>G15-B15</f>
        <v>20.771212547196626</v>
      </c>
      <c r="H16" t="s">
        <v>54</v>
      </c>
      <c r="P16" s="19">
        <v>10</v>
      </c>
    </row>
    <row r="17" spans="1:16" x14ac:dyDescent="0.25">
      <c r="A17" s="5" t="s">
        <v>6</v>
      </c>
      <c r="B17" s="7">
        <f>2*SQRT(B12*B13*G12)/(G12-1)</f>
        <v>29.387195591971476</v>
      </c>
      <c r="C17" s="2" t="s">
        <v>0</v>
      </c>
      <c r="D17" s="12" t="s">
        <v>58</v>
      </c>
      <c r="E17" s="14"/>
      <c r="F17" s="14"/>
      <c r="G17" s="9">
        <f>0.001*10^(G16/10)</f>
        <v>0.1194321511660493</v>
      </c>
      <c r="H17" t="s">
        <v>0</v>
      </c>
      <c r="P17" s="19">
        <v>11</v>
      </c>
    </row>
    <row r="18" spans="1:16" x14ac:dyDescent="0.25">
      <c r="A18" s="5" t="s">
        <v>35</v>
      </c>
      <c r="B18" s="7">
        <f>(G12+1)*B13/(G12-1)-B17</f>
        <v>78.905068810993029</v>
      </c>
      <c r="C18" s="2" t="s">
        <v>0</v>
      </c>
      <c r="D18" s="12" t="s">
        <v>29</v>
      </c>
      <c r="E18" s="14"/>
      <c r="F18" s="11"/>
      <c r="G18" s="9">
        <f>SQRT(G17*B13)</f>
        <v>3.4558957039535976</v>
      </c>
      <c r="H18" t="s">
        <v>1</v>
      </c>
      <c r="I18" s="6"/>
      <c r="P18" s="19">
        <v>12</v>
      </c>
    </row>
    <row r="19" spans="1:16" x14ac:dyDescent="0.25">
      <c r="A19" s="3" t="s">
        <v>8</v>
      </c>
      <c r="B19" s="8">
        <f>(G14-G20)^2/B16</f>
        <v>1.4855361965706471</v>
      </c>
      <c r="C19" t="s">
        <v>0</v>
      </c>
      <c r="D19" s="12" t="s">
        <v>60</v>
      </c>
      <c r="E19" s="14"/>
      <c r="F19" s="11"/>
      <c r="G19" s="9">
        <f>1/(1/B17+1/(B18+B13))</f>
        <v>25.24106339048922</v>
      </c>
      <c r="H19" s="2" t="s">
        <v>0</v>
      </c>
      <c r="P19" s="19">
        <v>13</v>
      </c>
    </row>
    <row r="20" spans="1:16" x14ac:dyDescent="0.25">
      <c r="A20" s="3" t="s">
        <v>9</v>
      </c>
      <c r="B20" s="8">
        <f>G20^2/B17</f>
        <v>1.3007936312032837</v>
      </c>
      <c r="C20" t="s">
        <v>0</v>
      </c>
      <c r="D20" s="12" t="s">
        <v>61</v>
      </c>
      <c r="E20" s="52"/>
      <c r="F20" s="53"/>
      <c r="G20" s="9">
        <f>G14*G19/(B16+G19)</f>
        <v>6.1827725871943331</v>
      </c>
      <c r="H20" t="s">
        <v>1</v>
      </c>
      <c r="P20" s="19">
        <v>15</v>
      </c>
    </row>
    <row r="21" spans="1:16" x14ac:dyDescent="0.25">
      <c r="A21" s="3" t="s">
        <v>10</v>
      </c>
      <c r="B21" s="8">
        <f>(G20-G18)^2/B18</f>
        <v>9.4238021060020244E-2</v>
      </c>
      <c r="C21" t="s">
        <v>0</v>
      </c>
      <c r="F21" s="25"/>
      <c r="P21" s="19">
        <v>16</v>
      </c>
    </row>
    <row r="22" spans="1:16" x14ac:dyDescent="0.25">
      <c r="P22" s="19">
        <v>18</v>
      </c>
    </row>
    <row r="23" spans="1:16" x14ac:dyDescent="0.25">
      <c r="A23" s="18" t="s">
        <v>12</v>
      </c>
      <c r="P23" s="19">
        <v>20</v>
      </c>
    </row>
    <row r="24" spans="1:16" x14ac:dyDescent="0.25">
      <c r="P24" s="19">
        <v>22</v>
      </c>
    </row>
    <row r="25" spans="1:16" x14ac:dyDescent="0.25">
      <c r="P25" s="19">
        <v>24</v>
      </c>
    </row>
    <row r="26" spans="1:16" x14ac:dyDescent="0.25">
      <c r="D26" s="18" t="s">
        <v>65</v>
      </c>
      <c r="P26" s="19">
        <v>27</v>
      </c>
    </row>
    <row r="27" spans="1:16" x14ac:dyDescent="0.25">
      <c r="P27" s="19">
        <v>30</v>
      </c>
    </row>
    <row r="28" spans="1:16" x14ac:dyDescent="0.25">
      <c r="P28" s="19">
        <v>33</v>
      </c>
    </row>
    <row r="29" spans="1:16" x14ac:dyDescent="0.25">
      <c r="P29" s="19">
        <v>36</v>
      </c>
    </row>
    <row r="30" spans="1:16" x14ac:dyDescent="0.25">
      <c r="D30" s="18" t="s">
        <v>16</v>
      </c>
      <c r="P30" s="19">
        <v>39</v>
      </c>
    </row>
    <row r="31" spans="1:16" x14ac:dyDescent="0.25">
      <c r="D31" t="s">
        <v>66</v>
      </c>
      <c r="E31" s="15" t="s">
        <v>44</v>
      </c>
      <c r="F31" s="15" t="s">
        <v>45</v>
      </c>
      <c r="P31" s="19">
        <v>43</v>
      </c>
    </row>
    <row r="32" spans="1:16" x14ac:dyDescent="0.25">
      <c r="A32" s="3" t="s">
        <v>43</v>
      </c>
      <c r="B32" s="8">
        <f>B16</f>
        <v>24.758936609510776</v>
      </c>
      <c r="C32" s="2" t="s">
        <v>0</v>
      </c>
      <c r="D32" s="8">
        <f>IF(F32="",E32,(E32*F32)/(E32+F32))</f>
        <v>24.459183673469386</v>
      </c>
      <c r="E32" s="10">
        <v>47</v>
      </c>
      <c r="F32" s="10">
        <v>51</v>
      </c>
      <c r="G32" s="2" t="s">
        <v>0</v>
      </c>
      <c r="H32" s="19"/>
      <c r="K32" s="19" t="s">
        <v>23</v>
      </c>
      <c r="L32" s="19"/>
      <c r="M32" s="19"/>
      <c r="P32" s="19">
        <v>47</v>
      </c>
    </row>
    <row r="33" spans="1:16" x14ac:dyDescent="0.25">
      <c r="A33" s="12"/>
      <c r="B33" s="13"/>
      <c r="D33" t="s">
        <v>67</v>
      </c>
      <c r="E33" s="16" t="s">
        <v>14</v>
      </c>
      <c r="F33" s="16" t="s">
        <v>15</v>
      </c>
      <c r="H33" s="20"/>
      <c r="K33" s="19" t="s">
        <v>48</v>
      </c>
      <c r="L33" s="19"/>
      <c r="M33" s="19"/>
      <c r="N33" s="19" t="s">
        <v>49</v>
      </c>
      <c r="P33" s="19">
        <v>51</v>
      </c>
    </row>
    <row r="34" spans="1:16" x14ac:dyDescent="0.25">
      <c r="A34" s="3" t="s">
        <v>13</v>
      </c>
      <c r="B34" s="8">
        <f>B17</f>
        <v>29.387195591971476</v>
      </c>
      <c r="C34" s="2" t="s">
        <v>0</v>
      </c>
      <c r="D34" s="8">
        <f>IF(F34="",E34,(E34*F34)/(E34+F34))</f>
        <v>29.423728813559322</v>
      </c>
      <c r="E34" s="10">
        <v>56</v>
      </c>
      <c r="F34" s="10">
        <v>62</v>
      </c>
      <c r="G34" s="2" t="s">
        <v>0</v>
      </c>
      <c r="H34" s="20"/>
      <c r="K34" s="19" t="s">
        <v>26</v>
      </c>
      <c r="L34" s="25">
        <f>D32+(1/(1/D34+1/(D36+B13)))</f>
        <v>49.748921452685963</v>
      </c>
      <c r="M34" s="25"/>
      <c r="N34" s="25">
        <f>D36+(1/(1/D34+1/(D32+B12)))</f>
        <v>101.08977093187225</v>
      </c>
      <c r="P34" s="19">
        <v>56</v>
      </c>
    </row>
    <row r="35" spans="1:16" x14ac:dyDescent="0.25">
      <c r="B35" s="44"/>
      <c r="C35" s="2"/>
      <c r="D35" t="s">
        <v>68</v>
      </c>
      <c r="E35" s="45" t="s">
        <v>46</v>
      </c>
      <c r="F35" s="45" t="s">
        <v>47</v>
      </c>
      <c r="G35" s="2"/>
      <c r="H35" s="20"/>
      <c r="K35" s="19" t="s">
        <v>24</v>
      </c>
      <c r="L35" s="48">
        <f>2*L34/(L34+B12)</f>
        <v>0.99748289461522521</v>
      </c>
      <c r="M35" s="25"/>
      <c r="N35" s="25">
        <f>2-(2/(B13+N34)*B13)</f>
        <v>1.0054193255421304</v>
      </c>
      <c r="P35" s="19">
        <v>62</v>
      </c>
    </row>
    <row r="36" spans="1:16" x14ac:dyDescent="0.25">
      <c r="A36" s="3" t="s">
        <v>42</v>
      </c>
      <c r="B36" s="8">
        <f>B18</f>
        <v>78.905068810993029</v>
      </c>
      <c r="C36" s="2" t="s">
        <v>0</v>
      </c>
      <c r="D36" s="8">
        <f>IF(F36="",E36,(E36*F36)/(E36+F36))</f>
        <v>80</v>
      </c>
      <c r="E36" s="10">
        <v>160</v>
      </c>
      <c r="F36" s="10">
        <v>160</v>
      </c>
      <c r="G36" s="2" t="s">
        <v>0</v>
      </c>
      <c r="H36" s="20"/>
      <c r="K36" s="19" t="s">
        <v>31</v>
      </c>
      <c r="L36" s="48">
        <f>(L35-(2*D32/(B12+L34)))*(B13/(B13+D36))</f>
        <v>0.28170438571511325</v>
      </c>
      <c r="M36" s="25"/>
      <c r="N36" s="25">
        <f>(N35-(2*D36/(B13+N34)))*(B12/(B12+D32))</f>
        <v>0.14085219285755657</v>
      </c>
      <c r="P36" s="19">
        <v>68</v>
      </c>
    </row>
    <row r="37" spans="1:16" x14ac:dyDescent="0.25">
      <c r="D37" s="18" t="s">
        <v>25</v>
      </c>
      <c r="F37" s="49" t="s">
        <v>48</v>
      </c>
      <c r="G37" s="18" t="s">
        <v>49</v>
      </c>
      <c r="H37" s="20"/>
      <c r="K37" s="19" t="s">
        <v>5</v>
      </c>
      <c r="L37" s="48">
        <f>10*LOG10((L35^2/L34)/(L36^2/B13))</f>
        <v>14.014400273385302</v>
      </c>
      <c r="M37" s="25"/>
      <c r="N37" s="25">
        <f>10*LOG10((N35^2/N34)/(N36^2/B12))</f>
        <v>14.014300239379644</v>
      </c>
      <c r="P37" s="19">
        <v>75</v>
      </c>
    </row>
    <row r="38" spans="1:16" x14ac:dyDescent="0.25">
      <c r="A38" s="3" t="s">
        <v>17</v>
      </c>
      <c r="B38" s="8">
        <f>IF(E32="","",(G14-G20)^2/E32)</f>
        <v>0.78255950046864664</v>
      </c>
      <c r="C38" t="s">
        <v>0</v>
      </c>
      <c r="D38" s="22" t="s">
        <v>5</v>
      </c>
      <c r="F38" s="8">
        <f>L37</f>
        <v>14.014400273385302</v>
      </c>
      <c r="G38" s="8">
        <f>N37</f>
        <v>14.014300239379644</v>
      </c>
      <c r="H38" t="s">
        <v>2</v>
      </c>
      <c r="K38" s="19" t="s">
        <v>50</v>
      </c>
      <c r="L38" s="25">
        <f>IF((L34-B12)/(L34+B12)&gt;0,-1*(20*LOG10((L34-B12)/(L34+B12))),-1*(20*LOG10(-1*(L34-B12)/(L34+B12))))</f>
        <v>51.981972025400829</v>
      </c>
      <c r="M38" s="25"/>
      <c r="N38" s="25">
        <f>IF((N34-B13)/(N34+B13)&gt;0,-1*(20*LOG10((N34-B13)/(N34+B13))),-1*(20*LOG10(-1*(N34-B13)/(N34+B13))))</f>
        <v>45.32109519748844</v>
      </c>
      <c r="P38" s="19">
        <v>82</v>
      </c>
    </row>
    <row r="39" spans="1:16" x14ac:dyDescent="0.25">
      <c r="A39" s="3" t="s">
        <v>18</v>
      </c>
      <c r="B39" s="8">
        <f>IF(F32="","",(G14-G20)^2/F32)</f>
        <v>0.72118228474561552</v>
      </c>
      <c r="C39" t="s">
        <v>0</v>
      </c>
      <c r="D39" s="22" t="s">
        <v>26</v>
      </c>
      <c r="F39" s="8">
        <f>L34</f>
        <v>49.748921452685963</v>
      </c>
      <c r="G39" s="8">
        <f>N34</f>
        <v>101.08977093187225</v>
      </c>
      <c r="H39" s="23" t="s">
        <v>27</v>
      </c>
      <c r="K39" s="19" t="s">
        <v>51</v>
      </c>
      <c r="L39" s="25">
        <f>IF((L34-B12)/(L34+B12)&gt;0,(1+(L34-B12)/(L34+B12))/(1-(L34-B12)/(L34+B12)),(1-(L34-B12)/(L34+B12))/(1+(L34-B12)/(L34+B12)))</f>
        <v>1.0050469143849243</v>
      </c>
      <c r="M39" s="25"/>
      <c r="N39" s="25">
        <f>IF((N34-B13)/(N34+B13)&gt;0,(1+(N34-B13)/(N34+B13))/(1-(N34-B13)/(N34+B13)),(1-(N34-B13)/(N34+B13))/(1+(N34-B13)/(N34+B13)))</f>
        <v>1.0108977093187226</v>
      </c>
      <c r="P39" s="19">
        <v>91</v>
      </c>
    </row>
    <row r="40" spans="1:16" x14ac:dyDescent="0.25">
      <c r="A40" s="3" t="s">
        <v>19</v>
      </c>
      <c r="B40" s="8">
        <f>IF(E34="","",G20^2/E34)</f>
        <v>0.68261922973145917</v>
      </c>
      <c r="C40" t="s">
        <v>0</v>
      </c>
      <c r="D40" s="18" t="s">
        <v>34</v>
      </c>
      <c r="F40" s="50">
        <f>L38</f>
        <v>51.981972025400829</v>
      </c>
      <c r="G40" s="8">
        <f>N38</f>
        <v>45.32109519748844</v>
      </c>
      <c r="H40" s="23" t="s">
        <v>2</v>
      </c>
      <c r="K40" s="19"/>
      <c r="L40" s="19"/>
      <c r="M40" s="20"/>
    </row>
    <row r="41" spans="1:16" x14ac:dyDescent="0.25">
      <c r="A41" s="3" t="s">
        <v>20</v>
      </c>
      <c r="B41" s="8">
        <f>IF(F34="","",G20^2/F34)</f>
        <v>0.61655930427357597</v>
      </c>
      <c r="C41" t="s">
        <v>0</v>
      </c>
      <c r="D41" s="18" t="s">
        <v>51</v>
      </c>
      <c r="F41" s="8">
        <f>L39</f>
        <v>1.0050469143849243</v>
      </c>
      <c r="G41" s="8">
        <f>N39</f>
        <v>1.0108977093187226</v>
      </c>
      <c r="H41" s="20"/>
      <c r="K41" s="19"/>
      <c r="L41" s="19"/>
      <c r="M41" s="20"/>
    </row>
    <row r="42" spans="1:16" x14ac:dyDescent="0.25">
      <c r="A42" s="3" t="s">
        <v>21</v>
      </c>
      <c r="B42" s="8">
        <f>IF(E36="","",(G20-G18)^2/E36)</f>
        <v>4.6474109602204425E-2</v>
      </c>
      <c r="C42" t="s">
        <v>0</v>
      </c>
      <c r="K42" s="19"/>
      <c r="L42" s="19"/>
    </row>
    <row r="43" spans="1:16" x14ac:dyDescent="0.25">
      <c r="A43" s="3" t="s">
        <v>22</v>
      </c>
      <c r="B43" s="8">
        <f>IF(F36="","",(G20-G18)^2/F36)</f>
        <v>4.6474109602204425E-2</v>
      </c>
      <c r="C43" t="s">
        <v>0</v>
      </c>
      <c r="J43" s="27"/>
    </row>
  </sheetData>
  <sheetProtection sheet="1" objects="1" scenarios="1"/>
  <hyperlinks>
    <hyperlink ref="A3" r:id="rId1" xr:uid="{00000000-0004-0000-0100-000000000000}"/>
    <hyperlink ref="A4" r:id="rId2" xr:uid="{00000000-0004-0000-0100-000001000000}"/>
  </hyperlinks>
  <pageMargins left="0.9055118110236221" right="0.31496062992125984" top="0.78740157480314965" bottom="0.78740157480314965" header="0.31496062992125984" footer="0.31496062992125984"/>
  <pageSetup paperSize="9" orientation="portrait" r:id="rId3"/>
  <drawing r:id="rId4"/>
  <legacyDrawing r:id="rId5"/>
  <oleObjects>
    <mc:AlternateContent xmlns:mc="http://schemas.openxmlformats.org/markup-compatibility/2006">
      <mc:Choice Requires="x14">
        <oleObject progId="Visio.Drawing.6" shapeId="4100" r:id="rId6">
          <objectPr defaultSize="0" autoPict="0" r:id="rId7">
            <anchor moveWithCells="1">
              <from>
                <xdr:col>0</xdr:col>
                <xdr:colOff>0</xdr:colOff>
                <xdr:row>23</xdr:row>
                <xdr:rowOff>104775</xdr:rowOff>
              </from>
              <to>
                <xdr:col>2</xdr:col>
                <xdr:colOff>228600</xdr:colOff>
                <xdr:row>29</xdr:row>
                <xdr:rowOff>76200</xdr:rowOff>
              </to>
            </anchor>
          </objectPr>
        </oleObject>
      </mc:Choice>
      <mc:Fallback>
        <oleObject progId="Visio.Drawing.6" shapeId="4100" r:id="rId6"/>
      </mc:Fallback>
    </mc:AlternateContent>
    <mc:AlternateContent xmlns:mc="http://schemas.openxmlformats.org/markup-compatibility/2006">
      <mc:Choice Requires="x14">
        <oleObject progId="Visio.Drawing.6" shapeId="4102" r:id="rId8">
          <objectPr defaultSize="0" autoPict="0" r:id="rId9">
            <anchor moveWithCells="1">
              <from>
                <xdr:col>0</xdr:col>
                <xdr:colOff>28575</xdr:colOff>
                <xdr:row>4</xdr:row>
                <xdr:rowOff>104775</xdr:rowOff>
              </from>
              <to>
                <xdr:col>3</xdr:col>
                <xdr:colOff>142875</xdr:colOff>
                <xdr:row>9</xdr:row>
                <xdr:rowOff>142875</xdr:rowOff>
              </to>
            </anchor>
          </objectPr>
        </oleObject>
      </mc:Choice>
      <mc:Fallback>
        <oleObject progId="Visio.Drawing.6" shapeId="4102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180975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7"/>
  <sheetViews>
    <sheetView showGridLines="0" workbookViewId="0">
      <selection activeCell="B4" sqref="B4"/>
    </sheetView>
  </sheetViews>
  <sheetFormatPr baseColWidth="10" defaultRowHeight="12.75" x14ac:dyDescent="0.2"/>
  <cols>
    <col min="1" max="4" width="9.7109375" style="28" customWidth="1"/>
    <col min="5" max="5" width="9.7109375" style="29" customWidth="1"/>
    <col min="6" max="6" width="4.140625" style="28" customWidth="1"/>
    <col min="7" max="7" width="3.28515625" style="28" customWidth="1"/>
    <col min="8" max="8" width="1.5703125" style="28" customWidth="1"/>
    <col min="9" max="9" width="1.42578125" style="28" customWidth="1"/>
    <col min="10" max="10" width="8.140625" style="28" customWidth="1"/>
    <col min="11" max="11" width="1.7109375" style="28" customWidth="1"/>
    <col min="12" max="12" width="1.42578125" style="28" customWidth="1"/>
    <col min="13" max="13" width="7.28515625" style="28" customWidth="1"/>
    <col min="14" max="16384" width="11.42578125" style="28"/>
  </cols>
  <sheetData>
    <row r="2" spans="1:13" ht="6" customHeight="1" x14ac:dyDescent="0.2">
      <c r="J2" s="60" t="s">
        <v>35</v>
      </c>
    </row>
    <row r="3" spans="1:13" ht="5.25" customHeight="1" x14ac:dyDescent="0.2">
      <c r="H3" s="30"/>
      <c r="I3" s="31"/>
      <c r="J3" s="61"/>
      <c r="K3" s="30"/>
      <c r="L3" s="32"/>
    </row>
    <row r="4" spans="1:13" x14ac:dyDescent="0.2">
      <c r="A4" s="28" t="s">
        <v>36</v>
      </c>
      <c r="B4" s="56">
        <v>50</v>
      </c>
      <c r="G4" s="33" t="s">
        <v>36</v>
      </c>
      <c r="I4" s="34"/>
      <c r="K4" s="35"/>
      <c r="M4" s="28" t="s">
        <v>37</v>
      </c>
    </row>
    <row r="5" spans="1:13" x14ac:dyDescent="0.2">
      <c r="A5" s="28" t="s">
        <v>38</v>
      </c>
      <c r="B5" s="56">
        <v>50</v>
      </c>
      <c r="H5" s="62" t="s">
        <v>39</v>
      </c>
      <c r="I5" s="63"/>
      <c r="K5" s="62" t="s">
        <v>6</v>
      </c>
      <c r="L5" s="63"/>
    </row>
    <row r="6" spans="1:13" x14ac:dyDescent="0.2">
      <c r="H6" s="64"/>
      <c r="I6" s="65"/>
      <c r="J6" s="36"/>
      <c r="K6" s="64"/>
      <c r="L6" s="65"/>
    </row>
    <row r="7" spans="1:13" x14ac:dyDescent="0.2">
      <c r="A7" s="57" t="s">
        <v>40</v>
      </c>
      <c r="B7" s="57" t="s">
        <v>39</v>
      </c>
      <c r="C7" s="57" t="s">
        <v>6</v>
      </c>
      <c r="D7" s="57" t="s">
        <v>35</v>
      </c>
      <c r="E7" s="58" t="s">
        <v>41</v>
      </c>
      <c r="H7" s="66"/>
      <c r="I7" s="67"/>
      <c r="K7" s="66"/>
      <c r="L7" s="67"/>
    </row>
    <row r="8" spans="1:13" x14ac:dyDescent="0.2">
      <c r="A8" s="37">
        <v>1</v>
      </c>
      <c r="B8" s="38">
        <f>1/((E8+1)/($B$4*(E8-1))-1/D8)</f>
        <v>869.54816238309763</v>
      </c>
      <c r="C8" s="38">
        <f>1/((E8+1)/($B$5*(E8-1))-1/D8)</f>
        <v>869.54816238309763</v>
      </c>
      <c r="D8" s="38">
        <f>0.5*(E8-1)*SQRT($B$4*$B$5/E8)</f>
        <v>5.7691879042054488</v>
      </c>
      <c r="E8" s="39">
        <f>POWER(10,A8/10)</f>
        <v>1.2589254117941673</v>
      </c>
      <c r="H8" s="40"/>
      <c r="I8" s="41"/>
      <c r="K8" s="40"/>
      <c r="L8" s="41"/>
    </row>
    <row r="9" spans="1:13" x14ac:dyDescent="0.2">
      <c r="A9" s="37">
        <v>2</v>
      </c>
      <c r="B9" s="38">
        <f t="shared" ref="B9:B47" si="0">1/((E9+1)/($B$4*(E9-1))-1/D9)</f>
        <v>436.21160938615856</v>
      </c>
      <c r="C9" s="38">
        <f t="shared" ref="C9:C47" si="1">1/((E9+1)/($B$5*(E9-1))-1/D9)</f>
        <v>436.21160938615856</v>
      </c>
      <c r="D9" s="38">
        <f t="shared" ref="D9:D47" si="2">0.5*(E9-1)*SQRT($B$4*$B$5/E9)</f>
        <v>11.614929426747146</v>
      </c>
      <c r="E9" s="39">
        <f t="shared" ref="E9:E47" si="3">POWER(10,A9/10)</f>
        <v>1.5848931924611136</v>
      </c>
    </row>
    <row r="10" spans="1:13" x14ac:dyDescent="0.2">
      <c r="A10" s="37">
        <v>3</v>
      </c>
      <c r="B10" s="38">
        <f t="shared" si="0"/>
        <v>292.40217964026795</v>
      </c>
      <c r="C10" s="38">
        <f t="shared" si="1"/>
        <v>292.40217964026795</v>
      </c>
      <c r="D10" s="38">
        <f t="shared" si="2"/>
        <v>17.614794005965411</v>
      </c>
      <c r="E10" s="39">
        <f t="shared" si="3"/>
        <v>1.9952623149688797</v>
      </c>
    </row>
    <row r="11" spans="1:13" x14ac:dyDescent="0.2">
      <c r="A11" s="37">
        <v>4</v>
      </c>
      <c r="B11" s="38">
        <f t="shared" si="0"/>
        <v>220.9713863811954</v>
      </c>
      <c r="C11" s="38">
        <f t="shared" si="1"/>
        <v>220.9713863811954</v>
      </c>
      <c r="D11" s="38">
        <f t="shared" si="2"/>
        <v>23.848396199523012</v>
      </c>
      <c r="E11" s="39">
        <f t="shared" si="3"/>
        <v>2.5118864315095806</v>
      </c>
    </row>
    <row r="12" spans="1:13" x14ac:dyDescent="0.2">
      <c r="A12" s="37">
        <v>5</v>
      </c>
      <c r="B12" s="38">
        <f t="shared" si="0"/>
        <v>178.48855913456435</v>
      </c>
      <c r="C12" s="38">
        <f t="shared" si="1"/>
        <v>178.48855913456435</v>
      </c>
      <c r="D12" s="38">
        <f t="shared" si="2"/>
        <v>30.398452121214344</v>
      </c>
      <c r="E12" s="39">
        <f t="shared" si="3"/>
        <v>3.1622776601683795</v>
      </c>
    </row>
    <row r="13" spans="1:13" x14ac:dyDescent="0.2">
      <c r="A13" s="37">
        <v>6</v>
      </c>
      <c r="B13" s="38">
        <f t="shared" si="0"/>
        <v>150.47602375372449</v>
      </c>
      <c r="C13" s="38">
        <f t="shared" si="1"/>
        <v>150.47602375372449</v>
      </c>
      <c r="D13" s="38">
        <f t="shared" si="2"/>
        <v>37.351877033540184</v>
      </c>
      <c r="E13" s="39">
        <f t="shared" si="3"/>
        <v>3.9810717055349727</v>
      </c>
    </row>
    <row r="14" spans="1:13" x14ac:dyDescent="0.2">
      <c r="A14" s="37">
        <v>7</v>
      </c>
      <c r="B14" s="38">
        <f t="shared" si="0"/>
        <v>130.72841972776516</v>
      </c>
      <c r="C14" s="38">
        <f t="shared" si="1"/>
        <v>130.72841972776516</v>
      </c>
      <c r="D14" s="38">
        <f t="shared" si="2"/>
        <v>44.800938660434412</v>
      </c>
      <c r="E14" s="39">
        <f t="shared" si="3"/>
        <v>5.0118723362727229</v>
      </c>
    </row>
    <row r="15" spans="1:13" x14ac:dyDescent="0.2">
      <c r="A15" s="37">
        <v>8</v>
      </c>
      <c r="B15" s="38">
        <f t="shared" si="0"/>
        <v>116.14253419825492</v>
      </c>
      <c r="C15" s="38">
        <f t="shared" si="1"/>
        <v>116.14253419825492</v>
      </c>
      <c r="D15" s="38">
        <f t="shared" si="2"/>
        <v>52.844481523902083</v>
      </c>
      <c r="E15" s="39">
        <f t="shared" si="3"/>
        <v>6.3095734448019343</v>
      </c>
    </row>
    <row r="16" spans="1:13" x14ac:dyDescent="0.2">
      <c r="A16" s="37">
        <v>9</v>
      </c>
      <c r="B16" s="38">
        <f t="shared" si="0"/>
        <v>104.993917002104</v>
      </c>
      <c r="C16" s="38">
        <f t="shared" si="1"/>
        <v>104.993917002104</v>
      </c>
      <c r="D16" s="38">
        <f t="shared" si="2"/>
        <v>61.589238550771974</v>
      </c>
      <c r="E16" s="39">
        <f t="shared" si="3"/>
        <v>7.9432823472428176</v>
      </c>
    </row>
    <row r="17" spans="1:5" x14ac:dyDescent="0.2">
      <c r="A17" s="37">
        <v>10</v>
      </c>
      <c r="B17" s="38">
        <f t="shared" si="0"/>
        <v>96.247529557426432</v>
      </c>
      <c r="C17" s="38">
        <f t="shared" si="1"/>
        <v>96.247529557426432</v>
      </c>
      <c r="D17" s="38">
        <f t="shared" si="2"/>
        <v>71.151247353788534</v>
      </c>
      <c r="E17" s="39">
        <f t="shared" si="3"/>
        <v>10</v>
      </c>
    </row>
    <row r="18" spans="1:5" x14ac:dyDescent="0.2">
      <c r="A18" s="37">
        <v>11</v>
      </c>
      <c r="B18" s="38">
        <f t="shared" si="0"/>
        <v>89.244405602381676</v>
      </c>
      <c r="C18" s="38">
        <f t="shared" si="1"/>
        <v>89.244405602381676</v>
      </c>
      <c r="D18" s="38">
        <f t="shared" si="2"/>
        <v>81.657389980232765</v>
      </c>
      <c r="E18" s="39">
        <f t="shared" si="3"/>
        <v>12.58925411794168</v>
      </c>
    </row>
    <row r="19" spans="1:5" x14ac:dyDescent="0.2">
      <c r="A19" s="37">
        <v>12</v>
      </c>
      <c r="B19" s="38">
        <f t="shared" si="0"/>
        <v>83.54498310601835</v>
      </c>
      <c r="C19" s="38">
        <f t="shared" si="1"/>
        <v>83.54498310601835</v>
      </c>
      <c r="D19" s="38">
        <f t="shared" si="2"/>
        <v>93.247076559600373</v>
      </c>
      <c r="E19" s="39">
        <f t="shared" si="3"/>
        <v>15.848931924611136</v>
      </c>
    </row>
    <row r="20" spans="1:5" x14ac:dyDescent="0.2">
      <c r="A20" s="37">
        <v>13</v>
      </c>
      <c r="B20" s="38">
        <f t="shared" si="0"/>
        <v>78.844745544362269</v>
      </c>
      <c r="C20" s="38">
        <f t="shared" si="1"/>
        <v>78.844745544362269</v>
      </c>
      <c r="D20" s="38">
        <f t="shared" si="2"/>
        <v>106.07409519131996</v>
      </c>
      <c r="E20" s="39">
        <f t="shared" si="3"/>
        <v>19.952623149688804</v>
      </c>
    </row>
    <row r="21" spans="1:5" x14ac:dyDescent="0.2">
      <c r="A21" s="37">
        <v>14</v>
      </c>
      <c r="B21" s="38">
        <f t="shared" si="0"/>
        <v>74.926017484620701</v>
      </c>
      <c r="C21" s="38">
        <f t="shared" si="1"/>
        <v>74.926017484620701</v>
      </c>
      <c r="D21" s="38">
        <f t="shared" si="2"/>
        <v>120.30865261939587</v>
      </c>
      <c r="E21" s="39">
        <f t="shared" si="3"/>
        <v>25.118864315095799</v>
      </c>
    </row>
    <row r="22" spans="1:5" x14ac:dyDescent="0.2">
      <c r="A22" s="37">
        <v>15</v>
      </c>
      <c r="B22" s="38">
        <f t="shared" si="0"/>
        <v>71.629042127875834</v>
      </c>
      <c r="C22" s="38">
        <f t="shared" si="1"/>
        <v>71.629042127875834</v>
      </c>
      <c r="D22" s="38">
        <f t="shared" si="2"/>
        <v>136.13963277248999</v>
      </c>
      <c r="E22" s="39">
        <f t="shared" si="3"/>
        <v>31.622776601683803</v>
      </c>
    </row>
    <row r="23" spans="1:5" x14ac:dyDescent="0.2">
      <c r="A23" s="37">
        <v>16</v>
      </c>
      <c r="B23" s="38">
        <f t="shared" si="0"/>
        <v>68.833904651587389</v>
      </c>
      <c r="C23" s="38">
        <f t="shared" si="1"/>
        <v>68.833904651587389</v>
      </c>
      <c r="D23" s="38">
        <f t="shared" si="2"/>
        <v>153.7771031388956</v>
      </c>
      <c r="E23" s="39">
        <f t="shared" si="3"/>
        <v>39.810717055349755</v>
      </c>
    </row>
    <row r="24" spans="1:5" x14ac:dyDescent="0.2">
      <c r="A24" s="37">
        <v>17</v>
      </c>
      <c r="B24" s="38">
        <f t="shared" si="0"/>
        <v>66.448835170606898</v>
      </c>
      <c r="C24" s="38">
        <f t="shared" si="1"/>
        <v>66.448835170606898</v>
      </c>
      <c r="D24" s="38">
        <f t="shared" si="2"/>
        <v>173.45510223447761</v>
      </c>
      <c r="E24" s="39">
        <f t="shared" si="3"/>
        <v>50.118723362727238</v>
      </c>
    </row>
    <row r="25" spans="1:5" x14ac:dyDescent="0.2">
      <c r="A25" s="37">
        <v>18</v>
      </c>
      <c r="B25" s="38">
        <f t="shared" si="0"/>
        <v>64.402410128072958</v>
      </c>
      <c r="C25" s="38">
        <f t="shared" si="1"/>
        <v>64.402410128072958</v>
      </c>
      <c r="D25" s="38">
        <f t="shared" si="2"/>
        <v>195.43474515158502</v>
      </c>
      <c r="E25" s="39">
        <f t="shared" si="3"/>
        <v>63.095734448019364</v>
      </c>
    </row>
    <row r="26" spans="1:5" x14ac:dyDescent="0.2">
      <c r="A26" s="37">
        <v>19</v>
      </c>
      <c r="B26" s="38">
        <f t="shared" si="0"/>
        <v>62.638215663397673</v>
      </c>
      <c r="C26" s="38">
        <f t="shared" si="1"/>
        <v>62.638215663397673</v>
      </c>
      <c r="D26" s="38">
        <f t="shared" si="2"/>
        <v>220.00768839768153</v>
      </c>
      <c r="E26" s="39">
        <f t="shared" si="3"/>
        <v>79.432823472428197</v>
      </c>
    </row>
    <row r="27" spans="1:5" x14ac:dyDescent="0.2">
      <c r="A27" s="37">
        <v>20</v>
      </c>
      <c r="B27" s="38">
        <f t="shared" si="0"/>
        <v>61.111111111111107</v>
      </c>
      <c r="C27" s="38">
        <f t="shared" si="1"/>
        <v>61.111111111111107</v>
      </c>
      <c r="D27" s="38">
        <f t="shared" si="2"/>
        <v>247.5</v>
      </c>
      <c r="E27" s="39">
        <f t="shared" si="3"/>
        <v>100</v>
      </c>
    </row>
    <row r="28" spans="1:5" x14ac:dyDescent="0.2">
      <c r="A28" s="37">
        <v>21</v>
      </c>
      <c r="B28" s="38">
        <f t="shared" si="0"/>
        <v>59.78455913188963</v>
      </c>
      <c r="C28" s="38">
        <f t="shared" si="1"/>
        <v>59.78455913188963</v>
      </c>
      <c r="D28" s="38">
        <f t="shared" si="2"/>
        <v>278.27648623015654</v>
      </c>
      <c r="E28" s="39">
        <f t="shared" si="3"/>
        <v>125.89254117941677</v>
      </c>
    </row>
    <row r="29" spans="1:5" x14ac:dyDescent="0.2">
      <c r="A29" s="37">
        <v>22</v>
      </c>
      <c r="B29" s="38">
        <f t="shared" si="0"/>
        <v>58.628683000848781</v>
      </c>
      <c r="C29" s="38">
        <f t="shared" si="1"/>
        <v>58.628683000848781</v>
      </c>
      <c r="D29" s="38">
        <f t="shared" si="2"/>
        <v>312.74553236173131</v>
      </c>
      <c r="E29" s="39">
        <f t="shared" si="3"/>
        <v>158.48931924611153</v>
      </c>
    </row>
    <row r="30" spans="1:5" x14ac:dyDescent="0.2">
      <c r="A30" s="37">
        <v>23</v>
      </c>
      <c r="B30" s="38">
        <f t="shared" si="0"/>
        <v>57.618829679172478</v>
      </c>
      <c r="C30" s="38">
        <f t="shared" si="1"/>
        <v>57.618829679172478</v>
      </c>
      <c r="D30" s="38">
        <f t="shared" si="2"/>
        <v>351.3645216947283</v>
      </c>
      <c r="E30" s="39">
        <f t="shared" si="3"/>
        <v>199.52623149688802</v>
      </c>
    </row>
    <row r="31" spans="1:5" x14ac:dyDescent="0.2">
      <c r="A31" s="37">
        <v>24</v>
      </c>
      <c r="B31" s="38">
        <f t="shared" si="0"/>
        <v>56.734491107354081</v>
      </c>
      <c r="C31" s="38">
        <f t="shared" si="1"/>
        <v>56.734491107354081</v>
      </c>
      <c r="D31" s="38">
        <f t="shared" si="2"/>
        <v>394.64590475407795</v>
      </c>
      <c r="E31" s="39">
        <f t="shared" si="3"/>
        <v>251.18864315095806</v>
      </c>
    </row>
    <row r="32" spans="1:5" x14ac:dyDescent="0.2">
      <c r="A32" s="37">
        <v>25</v>
      </c>
      <c r="B32" s="38">
        <f t="shared" si="0"/>
        <v>55.958483396854682</v>
      </c>
      <c r="C32" s="38">
        <f t="shared" si="1"/>
        <v>55.958483396854682</v>
      </c>
      <c r="D32" s="38">
        <f t="shared" si="2"/>
        <v>443.16399919675501</v>
      </c>
      <c r="E32" s="39">
        <f t="shared" si="3"/>
        <v>316.22776601683825</v>
      </c>
    </row>
    <row r="33" spans="1:5" x14ac:dyDescent="0.2">
      <c r="A33" s="37">
        <v>26</v>
      </c>
      <c r="B33" s="38">
        <f t="shared" si="0"/>
        <v>55.276314482179842</v>
      </c>
      <c r="C33" s="38">
        <f t="shared" si="1"/>
        <v>55.276314482179842</v>
      </c>
      <c r="D33" s="38">
        <f t="shared" si="2"/>
        <v>497.56261065815193</v>
      </c>
      <c r="E33" s="39">
        <f t="shared" si="3"/>
        <v>398.10717055349761</v>
      </c>
    </row>
    <row r="34" spans="1:5" x14ac:dyDescent="0.2">
      <c r="A34" s="37">
        <v>27</v>
      </c>
      <c r="B34" s="38">
        <f t="shared" si="0"/>
        <v>54.675691383821075</v>
      </c>
      <c r="C34" s="38">
        <f t="shared" si="1"/>
        <v>54.675691383821075</v>
      </c>
      <c r="D34" s="38">
        <f t="shared" si="2"/>
        <v>558.56357566170766</v>
      </c>
      <c r="E34" s="39">
        <f t="shared" si="3"/>
        <v>501.18723362727269</v>
      </c>
    </row>
    <row r="35" spans="1:5" x14ac:dyDescent="0.2">
      <c r="A35" s="37">
        <v>28</v>
      </c>
      <c r="B35" s="38">
        <f t="shared" si="0"/>
        <v>54.146132201482253</v>
      </c>
      <c r="C35" s="38">
        <f t="shared" si="1"/>
        <v>54.146132201482253</v>
      </c>
      <c r="D35" s="38">
        <f t="shared" si="2"/>
        <v>626.97633995101125</v>
      </c>
      <c r="E35" s="39">
        <f t="shared" si="3"/>
        <v>630.95734448019323</v>
      </c>
    </row>
    <row r="36" spans="1:5" x14ac:dyDescent="0.2">
      <c r="A36" s="37">
        <v>29</v>
      </c>
      <c r="B36" s="38">
        <f t="shared" si="0"/>
        <v>53.678657589035296</v>
      </c>
      <c r="C36" s="38">
        <f t="shared" si="1"/>
        <v>53.678657589035296</v>
      </c>
      <c r="D36" s="38">
        <f t="shared" si="2"/>
        <v>703.70869934302982</v>
      </c>
      <c r="E36" s="39">
        <f t="shared" si="3"/>
        <v>794.32823472428208</v>
      </c>
    </row>
    <row r="37" spans="1:5" x14ac:dyDescent="0.2">
      <c r="A37" s="37">
        <v>30</v>
      </c>
      <c r="B37" s="38">
        <f t="shared" si="0"/>
        <v>53.265543203371756</v>
      </c>
      <c r="C37" s="38">
        <f t="shared" si="1"/>
        <v>53.265543203371756</v>
      </c>
      <c r="D37" s="38">
        <f t="shared" si="2"/>
        <v>789.77884562705276</v>
      </c>
      <c r="E37" s="39">
        <f t="shared" si="3"/>
        <v>1000</v>
      </c>
    </row>
    <row r="38" spans="1:5" x14ac:dyDescent="0.2">
      <c r="A38" s="37">
        <v>31</v>
      </c>
      <c r="B38" s="38">
        <f t="shared" si="0"/>
        <v>52.900119401461531</v>
      </c>
      <c r="C38" s="38">
        <f t="shared" si="1"/>
        <v>52.900119401461531</v>
      </c>
      <c r="D38" s="38">
        <f t="shared" si="2"/>
        <v>886.32887735112274</v>
      </c>
      <c r="E38" s="39">
        <f t="shared" si="3"/>
        <v>1258.925411794168</v>
      </c>
    </row>
    <row r="39" spans="1:5" x14ac:dyDescent="0.2">
      <c r="A39" s="37">
        <v>32</v>
      </c>
      <c r="B39" s="38">
        <f t="shared" si="0"/>
        <v>52.576607895633188</v>
      </c>
      <c r="C39" s="38">
        <f t="shared" si="1"/>
        <v>52.576607895633188</v>
      </c>
      <c r="D39" s="38">
        <f t="shared" si="2"/>
        <v>994.63995477586639</v>
      </c>
      <c r="E39" s="39">
        <f t="shared" si="3"/>
        <v>1584.8931924611156</v>
      </c>
    </row>
    <row r="40" spans="1:5" x14ac:dyDescent="0.2">
      <c r="A40" s="37">
        <v>33</v>
      </c>
      <c r="B40" s="38">
        <f t="shared" si="0"/>
        <v>52.289987574468554</v>
      </c>
      <c r="C40" s="38">
        <f t="shared" si="1"/>
        <v>52.289987574468554</v>
      </c>
      <c r="D40" s="38">
        <f t="shared" si="2"/>
        <v>1116.149300092766</v>
      </c>
      <c r="E40" s="39">
        <f t="shared" si="3"/>
        <v>1995.2623149688804</v>
      </c>
    </row>
    <row r="41" spans="1:5" x14ac:dyDescent="0.2">
      <c r="A41" s="37">
        <v>34</v>
      </c>
      <c r="B41" s="38">
        <f t="shared" si="0"/>
        <v>52.035883531856669</v>
      </c>
      <c r="C41" s="38">
        <f t="shared" si="1"/>
        <v>52.035883531856669</v>
      </c>
      <c r="D41" s="38">
        <f t="shared" si="2"/>
        <v>1252.4692684894387</v>
      </c>
      <c r="E41" s="39">
        <f t="shared" si="3"/>
        <v>2511.8864315095811</v>
      </c>
    </row>
    <row r="42" spans="1:5" x14ac:dyDescent="0.2">
      <c r="A42" s="37">
        <v>35</v>
      </c>
      <c r="B42" s="38">
        <f t="shared" si="0"/>
        <v>51.810474709013263</v>
      </c>
      <c r="C42" s="38">
        <f t="shared" si="1"/>
        <v>51.810474709013263</v>
      </c>
      <c r="D42" s="38">
        <f t="shared" si="2"/>
        <v>1405.4087431233631</v>
      </c>
      <c r="E42" s="39">
        <f t="shared" si="3"/>
        <v>3162.2776601683804</v>
      </c>
    </row>
    <row r="43" spans="1:5" x14ac:dyDescent="0.2">
      <c r="A43" s="37">
        <v>36</v>
      </c>
      <c r="B43" s="38">
        <f t="shared" si="0"/>
        <v>51.610416575130621</v>
      </c>
      <c r="C43" s="38">
        <f t="shared" si="1"/>
        <v>51.610416575130621</v>
      </c>
      <c r="D43" s="38">
        <f t="shared" si="2"/>
        <v>1576.9971379023689</v>
      </c>
      <c r="E43" s="39">
        <f t="shared" si="3"/>
        <v>3981.0717055349769</v>
      </c>
    </row>
    <row r="44" spans="1:5" x14ac:dyDescent="0.2">
      <c r="A44" s="37">
        <v>37</v>
      </c>
      <c r="B44" s="38">
        <f t="shared" si="0"/>
        <v>51.432776044177118</v>
      </c>
      <c r="C44" s="38">
        <f t="shared" si="1"/>
        <v>51.432776044177118</v>
      </c>
      <c r="D44" s="38">
        <f t="shared" si="2"/>
        <v>1769.5113265741907</v>
      </c>
      <c r="E44" s="39">
        <f t="shared" si="3"/>
        <v>5011.8723362727324</v>
      </c>
    </row>
    <row r="45" spans="1:5" x14ac:dyDescent="0.2">
      <c r="A45" s="37">
        <v>38</v>
      </c>
      <c r="B45" s="38">
        <f t="shared" si="0"/>
        <v>51.27497641386266</v>
      </c>
      <c r="C45" s="38">
        <f t="shared" si="1"/>
        <v>51.27497641386266</v>
      </c>
      <c r="D45" s="38">
        <f t="shared" si="2"/>
        <v>1985.5058554577561</v>
      </c>
      <c r="E45" s="39">
        <f t="shared" si="3"/>
        <v>6309.5734448019384</v>
      </c>
    </row>
    <row r="46" spans="1:5" x14ac:dyDescent="0.2">
      <c r="A46" s="37">
        <v>39</v>
      </c>
      <c r="B46" s="38">
        <f t="shared" si="0"/>
        <v>51.134750565052144</v>
      </c>
      <c r="C46" s="38">
        <f t="shared" si="1"/>
        <v>51.134750565052144</v>
      </c>
      <c r="D46" s="38">
        <f t="shared" si="2"/>
        <v>2227.8468407207884</v>
      </c>
      <c r="E46" s="39">
        <f t="shared" si="3"/>
        <v>7943.2823472428154</v>
      </c>
    </row>
    <row r="47" spans="1:5" x14ac:dyDescent="0.2">
      <c r="A47" s="37">
        <v>40</v>
      </c>
      <c r="B47" s="38">
        <f t="shared" si="0"/>
        <v>51.01010101010101</v>
      </c>
      <c r="C47" s="38">
        <f t="shared" si="1"/>
        <v>51.01010101010101</v>
      </c>
      <c r="D47" s="38">
        <f t="shared" si="2"/>
        <v>2499.75</v>
      </c>
      <c r="E47" s="39">
        <f t="shared" si="3"/>
        <v>10000</v>
      </c>
    </row>
  </sheetData>
  <sheetProtection sheet="1" objects="1" scenarios="1"/>
  <mergeCells count="3">
    <mergeCell ref="J2:J3"/>
    <mergeCell ref="H5:I7"/>
    <mergeCell ref="K5:L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7"/>
  <sheetViews>
    <sheetView showGridLines="0" workbookViewId="0">
      <selection activeCell="B4" sqref="B4"/>
    </sheetView>
  </sheetViews>
  <sheetFormatPr baseColWidth="10" defaultRowHeight="12.75" x14ac:dyDescent="0.2"/>
  <cols>
    <col min="1" max="4" width="9.7109375" style="28" customWidth="1"/>
    <col min="5" max="5" width="9.7109375" style="29" customWidth="1"/>
    <col min="6" max="6" width="4.5703125" style="28" customWidth="1"/>
    <col min="7" max="7" width="5.5703125" style="28" customWidth="1"/>
    <col min="8" max="8" width="1.28515625" style="28" customWidth="1"/>
    <col min="9" max="9" width="1.42578125" style="28" customWidth="1"/>
    <col min="10" max="10" width="6.28515625" style="28" customWidth="1"/>
    <col min="11" max="12" width="3.42578125" style="28" customWidth="1"/>
    <col min="13" max="13" width="2.28515625" style="28" customWidth="1"/>
    <col min="14" max="16384" width="11.42578125" style="28"/>
  </cols>
  <sheetData>
    <row r="2" spans="1:11" ht="6" customHeight="1" x14ac:dyDescent="0.2">
      <c r="G2" s="60" t="s">
        <v>39</v>
      </c>
      <c r="J2" s="60" t="s">
        <v>6</v>
      </c>
    </row>
    <row r="3" spans="1:11" ht="5.25" customHeight="1" x14ac:dyDescent="0.2">
      <c r="F3" s="30"/>
      <c r="G3" s="61"/>
      <c r="H3" s="30"/>
      <c r="I3" s="31"/>
      <c r="J3" s="68"/>
      <c r="K3" s="32"/>
    </row>
    <row r="4" spans="1:11" x14ac:dyDescent="0.2">
      <c r="A4" s="28" t="s">
        <v>36</v>
      </c>
      <c r="B4" s="56">
        <v>50</v>
      </c>
      <c r="F4" s="33" t="s">
        <v>36</v>
      </c>
      <c r="H4" s="35"/>
      <c r="K4" s="28" t="s">
        <v>37</v>
      </c>
    </row>
    <row r="5" spans="1:11" x14ac:dyDescent="0.2">
      <c r="A5" s="28" t="s">
        <v>38</v>
      </c>
      <c r="B5" s="56">
        <v>50</v>
      </c>
      <c r="H5" s="62" t="s">
        <v>35</v>
      </c>
      <c r="I5" s="69"/>
    </row>
    <row r="6" spans="1:11" x14ac:dyDescent="0.2">
      <c r="H6" s="70"/>
      <c r="I6" s="71"/>
    </row>
    <row r="7" spans="1:11" x14ac:dyDescent="0.2">
      <c r="A7" s="57" t="s">
        <v>40</v>
      </c>
      <c r="B7" s="57" t="s">
        <v>39</v>
      </c>
      <c r="C7" s="57" t="s">
        <v>6</v>
      </c>
      <c r="D7" s="57" t="s">
        <v>35</v>
      </c>
      <c r="E7" s="58" t="s">
        <v>41</v>
      </c>
      <c r="H7" s="72"/>
      <c r="I7" s="73"/>
    </row>
    <row r="8" spans="1:11" x14ac:dyDescent="0.2">
      <c r="A8" s="37">
        <v>1</v>
      </c>
      <c r="B8" s="38">
        <f>(E8+1)/(E8-1)*$B$4 -D8</f>
        <v>2.8750563892268701</v>
      </c>
      <c r="C8" s="38">
        <f>(E8+1)/(E8-1)*$B$5 -D8</f>
        <v>2.8750563892268701</v>
      </c>
      <c r="D8" s="38">
        <f>2*SQRT($B$4*$B$5*E8)/(E8-1)</f>
        <v>433.33655299693481</v>
      </c>
      <c r="E8" s="39">
        <f t="shared" ref="E8:E47" si="0">POWER(10,A8/10)</f>
        <v>1.2589254117941673</v>
      </c>
      <c r="H8" s="40"/>
      <c r="I8" s="41"/>
    </row>
    <row r="9" spans="1:11" x14ac:dyDescent="0.2">
      <c r="A9" s="37">
        <v>2</v>
      </c>
      <c r="B9" s="38">
        <f t="shared" ref="B9:B47" si="1">(E9+1)/(E9-1)*$B$4 -D9</f>
        <v>5.73116337622929</v>
      </c>
      <c r="C9" s="38">
        <f t="shared" ref="C9:C47" si="2">(E9+1)/(E9-1)*$B$5 -D9</f>
        <v>5.73116337622929</v>
      </c>
      <c r="D9" s="38">
        <f t="shared" ref="D9:D47" si="3">2*SQRT($B$4*$B$5*E9)/(E9-1)</f>
        <v>215.24022300496623</v>
      </c>
      <c r="E9" s="39">
        <f t="shared" si="0"/>
        <v>1.5848931924611136</v>
      </c>
    </row>
    <row r="10" spans="1:11" x14ac:dyDescent="0.2">
      <c r="A10" s="37">
        <v>3</v>
      </c>
      <c r="B10" s="38">
        <f t="shared" si="1"/>
        <v>8.5498678671809785</v>
      </c>
      <c r="C10" s="38">
        <f t="shared" si="2"/>
        <v>8.5498678671809785</v>
      </c>
      <c r="D10" s="38">
        <f t="shared" si="3"/>
        <v>141.92615588654354</v>
      </c>
      <c r="E10" s="39">
        <f t="shared" si="0"/>
        <v>1.9952623149688797</v>
      </c>
    </row>
    <row r="11" spans="1:11" x14ac:dyDescent="0.2">
      <c r="A11" s="37">
        <v>4</v>
      </c>
      <c r="B11" s="38">
        <f t="shared" si="1"/>
        <v>11.313682015314313</v>
      </c>
      <c r="C11" s="38">
        <f t="shared" si="2"/>
        <v>11.313682015314313</v>
      </c>
      <c r="D11" s="38">
        <f t="shared" si="3"/>
        <v>104.82885218294059</v>
      </c>
      <c r="E11" s="39">
        <f t="shared" si="0"/>
        <v>2.5118864315095806</v>
      </c>
    </row>
    <row r="12" spans="1:11" x14ac:dyDescent="0.2">
      <c r="A12" s="37">
        <v>5</v>
      </c>
      <c r="B12" s="38">
        <f t="shared" si="1"/>
        <v>14.006499980288524</v>
      </c>
      <c r="C12" s="38">
        <f t="shared" si="2"/>
        <v>14.006499980288524</v>
      </c>
      <c r="D12" s="38">
        <f t="shared" si="3"/>
        <v>82.241029577137923</v>
      </c>
      <c r="E12" s="39">
        <f t="shared" si="0"/>
        <v>3.1622776601683795</v>
      </c>
    </row>
    <row r="13" spans="1:11" x14ac:dyDescent="0.2">
      <c r="A13" s="37">
        <v>6</v>
      </c>
      <c r="B13" s="38">
        <f t="shared" si="1"/>
        <v>16.613942458312195</v>
      </c>
      <c r="C13" s="38">
        <f t="shared" si="2"/>
        <v>16.613942458312195</v>
      </c>
      <c r="D13" s="38">
        <f t="shared" si="3"/>
        <v>66.931040647706155</v>
      </c>
      <c r="E13" s="39">
        <f t="shared" si="0"/>
        <v>3.9810717055349727</v>
      </c>
    </row>
    <row r="14" spans="1:11" x14ac:dyDescent="0.2">
      <c r="A14" s="37">
        <v>7</v>
      </c>
      <c r="B14" s="38">
        <f t="shared" si="1"/>
        <v>19.123615241476301</v>
      </c>
      <c r="C14" s="38">
        <f t="shared" si="2"/>
        <v>19.123615241476301</v>
      </c>
      <c r="D14" s="38">
        <f t="shared" si="3"/>
        <v>55.8024022431444</v>
      </c>
      <c r="E14" s="39">
        <f t="shared" si="0"/>
        <v>5.0118723362727229</v>
      </c>
    </row>
    <row r="15" spans="1:11" x14ac:dyDescent="0.2">
      <c r="A15" s="37">
        <v>8</v>
      </c>
      <c r="B15" s="38">
        <f t="shared" si="1"/>
        <v>21.525275104919864</v>
      </c>
      <c r="C15" s="38">
        <f t="shared" si="2"/>
        <v>21.525275104919864</v>
      </c>
      <c r="D15" s="38">
        <f t="shared" si="3"/>
        <v>47.308629546667525</v>
      </c>
      <c r="E15" s="39">
        <f t="shared" si="0"/>
        <v>6.3095734448019343</v>
      </c>
    </row>
    <row r="16" spans="1:11" x14ac:dyDescent="0.2">
      <c r="A16" s="37">
        <v>9</v>
      </c>
      <c r="B16" s="38">
        <f t="shared" si="1"/>
        <v>23.810903254041875</v>
      </c>
      <c r="C16" s="38">
        <f t="shared" si="2"/>
        <v>23.810903254041875</v>
      </c>
      <c r="D16" s="38">
        <f t="shared" si="3"/>
        <v>40.591506874031069</v>
      </c>
      <c r="E16" s="39">
        <f t="shared" si="0"/>
        <v>7.9432823472428176</v>
      </c>
    </row>
    <row r="17" spans="1:5" x14ac:dyDescent="0.2">
      <c r="A17" s="37">
        <v>10</v>
      </c>
      <c r="B17" s="38">
        <f t="shared" si="1"/>
        <v>25.974692664795782</v>
      </c>
      <c r="C17" s="38">
        <f t="shared" si="2"/>
        <v>25.974692664795782</v>
      </c>
      <c r="D17" s="38">
        <f t="shared" si="3"/>
        <v>35.136418446315332</v>
      </c>
      <c r="E17" s="39">
        <f t="shared" si="0"/>
        <v>10</v>
      </c>
    </row>
    <row r="18" spans="1:5" x14ac:dyDescent="0.2">
      <c r="A18" s="37">
        <v>11</v>
      </c>
      <c r="B18" s="38">
        <f t="shared" si="1"/>
        <v>28.012960399315848</v>
      </c>
      <c r="C18" s="38">
        <f t="shared" si="2"/>
        <v>28.012960399315848</v>
      </c>
      <c r="D18" s="38">
        <f t="shared" si="3"/>
        <v>30.615722601532919</v>
      </c>
      <c r="E18" s="39">
        <f t="shared" si="0"/>
        <v>12.58925411794168</v>
      </c>
    </row>
    <row r="19" spans="1:5" x14ac:dyDescent="0.2">
      <c r="A19" s="37">
        <v>12</v>
      </c>
      <c r="B19" s="38">
        <f t="shared" si="1"/>
        <v>29.92399910868982</v>
      </c>
      <c r="C19" s="38">
        <f t="shared" si="2"/>
        <v>29.92399910868982</v>
      </c>
      <c r="D19" s="38">
        <f t="shared" si="3"/>
        <v>26.810491998664268</v>
      </c>
      <c r="E19" s="39">
        <f t="shared" si="0"/>
        <v>15.848931924611136</v>
      </c>
    </row>
    <row r="20" spans="1:5" x14ac:dyDescent="0.2">
      <c r="A20" s="37">
        <v>13</v>
      </c>
      <c r="B20" s="38">
        <f t="shared" si="1"/>
        <v>31.707883419997422</v>
      </c>
      <c r="C20" s="38">
        <f t="shared" si="2"/>
        <v>31.707883419997422</v>
      </c>
      <c r="D20" s="38">
        <f t="shared" si="3"/>
        <v>23.56843106218242</v>
      </c>
      <c r="E20" s="39">
        <f t="shared" si="0"/>
        <v>19.952623149688804</v>
      </c>
    </row>
    <row r="21" spans="1:5" x14ac:dyDescent="0.2">
      <c r="A21" s="37">
        <v>14</v>
      </c>
      <c r="B21" s="38">
        <f t="shared" si="1"/>
        <v>33.366246918343805</v>
      </c>
      <c r="C21" s="38">
        <f t="shared" si="2"/>
        <v>33.366246918343805</v>
      </c>
      <c r="D21" s="38">
        <f t="shared" si="3"/>
        <v>20.779885283138448</v>
      </c>
      <c r="E21" s="39">
        <f t="shared" si="0"/>
        <v>25.118864315095799</v>
      </c>
    </row>
    <row r="22" spans="1:5" x14ac:dyDescent="0.2">
      <c r="A22" s="37">
        <v>15</v>
      </c>
      <c r="B22" s="38">
        <f t="shared" si="1"/>
        <v>34.90204427886767</v>
      </c>
      <c r="C22" s="38">
        <f t="shared" si="2"/>
        <v>34.90204427886767</v>
      </c>
      <c r="D22" s="38">
        <f t="shared" si="3"/>
        <v>18.363498924504079</v>
      </c>
      <c r="E22" s="39">
        <f t="shared" si="0"/>
        <v>31.622776601683803</v>
      </c>
    </row>
    <row r="23" spans="1:5" x14ac:dyDescent="0.2">
      <c r="A23" s="37">
        <v>16</v>
      </c>
      <c r="B23" s="38">
        <f t="shared" si="1"/>
        <v>36.319311139679009</v>
      </c>
      <c r="C23" s="38">
        <f t="shared" si="2"/>
        <v>36.319311139679009</v>
      </c>
      <c r="D23" s="38">
        <f t="shared" si="3"/>
        <v>16.257296755954187</v>
      </c>
      <c r="E23" s="39">
        <f t="shared" si="0"/>
        <v>39.810717055349755</v>
      </c>
    </row>
    <row r="24" spans="1:5" x14ac:dyDescent="0.2">
      <c r="A24" s="37">
        <v>17</v>
      </c>
      <c r="B24" s="38">
        <f t="shared" si="1"/>
        <v>37.622931893106461</v>
      </c>
      <c r="C24" s="38">
        <f t="shared" si="2"/>
        <v>37.622931893106461</v>
      </c>
      <c r="D24" s="38">
        <f t="shared" si="3"/>
        <v>14.412951638750213</v>
      </c>
      <c r="E24" s="39">
        <f t="shared" si="0"/>
        <v>50.118723362727238</v>
      </c>
    </row>
    <row r="25" spans="1:5" x14ac:dyDescent="0.2">
      <c r="A25" s="37">
        <v>18</v>
      </c>
      <c r="B25" s="38">
        <f t="shared" si="1"/>
        <v>38.818423022188298</v>
      </c>
      <c r="C25" s="38">
        <f t="shared" si="2"/>
        <v>38.818423022188298</v>
      </c>
      <c r="D25" s="38">
        <f t="shared" si="3"/>
        <v>12.791993552942316</v>
      </c>
      <c r="E25" s="39">
        <f t="shared" si="0"/>
        <v>63.095734448019364</v>
      </c>
    </row>
    <row r="26" spans="1:5" x14ac:dyDescent="0.2">
      <c r="A26" s="37">
        <v>19</v>
      </c>
      <c r="B26" s="38">
        <f t="shared" si="1"/>
        <v>39.911737164327661</v>
      </c>
      <c r="C26" s="38">
        <f t="shared" si="2"/>
        <v>39.911737164327661</v>
      </c>
      <c r="D26" s="38">
        <f t="shared" si="3"/>
        <v>11.363239249534995</v>
      </c>
      <c r="E26" s="39">
        <f t="shared" si="0"/>
        <v>79.432823472428197</v>
      </c>
    </row>
    <row r="27" spans="1:5" x14ac:dyDescent="0.2">
      <c r="A27" s="37">
        <v>20</v>
      </c>
      <c r="B27" s="38">
        <f t="shared" si="1"/>
        <v>40.909090909090907</v>
      </c>
      <c r="C27" s="38">
        <f t="shared" si="2"/>
        <v>40.909090909090907</v>
      </c>
      <c r="D27" s="38">
        <f t="shared" si="3"/>
        <v>10.1010101010101</v>
      </c>
      <c r="E27" s="39">
        <f t="shared" si="0"/>
        <v>100</v>
      </c>
    </row>
    <row r="28" spans="1:5" x14ac:dyDescent="0.2">
      <c r="A28" s="37">
        <v>21</v>
      </c>
      <c r="B28" s="38">
        <f t="shared" si="1"/>
        <v>41.816817524484804</v>
      </c>
      <c r="C28" s="38">
        <f t="shared" si="2"/>
        <v>41.816817524484804</v>
      </c>
      <c r="D28" s="38">
        <f t="shared" si="3"/>
        <v>8.9838708037024126</v>
      </c>
      <c r="E28" s="39">
        <f t="shared" si="0"/>
        <v>125.89254117941677</v>
      </c>
    </row>
    <row r="29" spans="1:5" x14ac:dyDescent="0.2">
      <c r="A29" s="37">
        <v>22</v>
      </c>
      <c r="B29" s="38">
        <f t="shared" si="1"/>
        <v>42.641244388242647</v>
      </c>
      <c r="C29" s="38">
        <f t="shared" si="2"/>
        <v>42.641244388242647</v>
      </c>
      <c r="D29" s="38">
        <f t="shared" si="3"/>
        <v>7.9937193063030607</v>
      </c>
      <c r="E29" s="39">
        <f t="shared" si="0"/>
        <v>158.48931924611153</v>
      </c>
    </row>
    <row r="30" spans="1:5" x14ac:dyDescent="0.2">
      <c r="A30" s="37">
        <v>23</v>
      </c>
      <c r="B30" s="38">
        <f t="shared" si="1"/>
        <v>43.388593866280445</v>
      </c>
      <c r="C30" s="38">
        <f t="shared" si="2"/>
        <v>43.388593866280445</v>
      </c>
      <c r="D30" s="38">
        <f t="shared" si="3"/>
        <v>7.1151179064460131</v>
      </c>
      <c r="E30" s="39">
        <f t="shared" si="0"/>
        <v>199.52623149688802</v>
      </c>
    </row>
    <row r="31" spans="1:5" x14ac:dyDescent="0.2">
      <c r="A31" s="37">
        <v>24</v>
      </c>
      <c r="B31" s="38">
        <f t="shared" si="1"/>
        <v>44.064905689723247</v>
      </c>
      <c r="C31" s="38">
        <f t="shared" si="2"/>
        <v>44.064905689723247</v>
      </c>
      <c r="D31" s="38">
        <f t="shared" si="3"/>
        <v>6.3347927088154261</v>
      </c>
      <c r="E31" s="39">
        <f t="shared" si="0"/>
        <v>251.18864315095806</v>
      </c>
    </row>
    <row r="32" spans="1:5" x14ac:dyDescent="0.2">
      <c r="A32" s="37">
        <v>25</v>
      </c>
      <c r="B32" s="38">
        <f t="shared" si="1"/>
        <v>44.675978479797756</v>
      </c>
      <c r="C32" s="38">
        <f t="shared" si="2"/>
        <v>44.675978479797756</v>
      </c>
      <c r="D32" s="38">
        <f t="shared" si="3"/>
        <v>5.6412524585284629</v>
      </c>
      <c r="E32" s="39">
        <f t="shared" si="0"/>
        <v>316.22776601683825</v>
      </c>
    </row>
    <row r="33" spans="1:5" x14ac:dyDescent="0.2">
      <c r="A33" s="37">
        <v>26</v>
      </c>
      <c r="B33" s="38">
        <f t="shared" si="1"/>
        <v>45.227327896579617</v>
      </c>
      <c r="C33" s="38">
        <f t="shared" si="2"/>
        <v>45.227327896579617</v>
      </c>
      <c r="D33" s="38">
        <f t="shared" si="3"/>
        <v>5.0244932928001163</v>
      </c>
      <c r="E33" s="39">
        <f t="shared" si="0"/>
        <v>398.10717055349761</v>
      </c>
    </row>
    <row r="34" spans="1:5" x14ac:dyDescent="0.2">
      <c r="A34" s="37">
        <v>27</v>
      </c>
      <c r="B34" s="38">
        <f t="shared" si="1"/>
        <v>45.724158885346398</v>
      </c>
      <c r="C34" s="38">
        <f t="shared" si="2"/>
        <v>45.724158885346398</v>
      </c>
      <c r="D34" s="38">
        <f t="shared" si="3"/>
        <v>4.475766249237342</v>
      </c>
      <c r="E34" s="39">
        <f t="shared" si="0"/>
        <v>501.18723362727269</v>
      </c>
    </row>
    <row r="35" spans="1:5" x14ac:dyDescent="0.2">
      <c r="A35" s="37">
        <v>28</v>
      </c>
      <c r="B35" s="38">
        <f t="shared" si="1"/>
        <v>46.171349611774531</v>
      </c>
      <c r="C35" s="38">
        <f t="shared" si="2"/>
        <v>46.171349611774531</v>
      </c>
      <c r="D35" s="38">
        <f t="shared" si="3"/>
        <v>3.9873912948538655</v>
      </c>
      <c r="E35" s="39">
        <f t="shared" si="0"/>
        <v>630.95734448019323</v>
      </c>
    </row>
    <row r="36" spans="1:5" x14ac:dyDescent="0.2">
      <c r="A36" s="37">
        <v>29</v>
      </c>
      <c r="B36" s="38">
        <f t="shared" si="1"/>
        <v>46.573444871517509</v>
      </c>
      <c r="C36" s="38">
        <f t="shared" si="2"/>
        <v>46.573444871517509</v>
      </c>
      <c r="D36" s="38">
        <f t="shared" si="3"/>
        <v>3.5526063587588963</v>
      </c>
      <c r="E36" s="39">
        <f t="shared" si="0"/>
        <v>794.32823472428208</v>
      </c>
    </row>
    <row r="37" spans="1:5" x14ac:dyDescent="0.2">
      <c r="A37" s="37">
        <v>30</v>
      </c>
      <c r="B37" s="38">
        <f t="shared" si="1"/>
        <v>46.934656996828451</v>
      </c>
      <c r="C37" s="38">
        <f t="shared" si="2"/>
        <v>46.934656996828451</v>
      </c>
      <c r="D37" s="38">
        <f t="shared" si="3"/>
        <v>3.165443103271651</v>
      </c>
      <c r="E37" s="39">
        <f t="shared" si="0"/>
        <v>1000</v>
      </c>
    </row>
    <row r="38" spans="1:5" x14ac:dyDescent="0.2">
      <c r="A38" s="37">
        <v>31</v>
      </c>
      <c r="B38" s="38">
        <f t="shared" si="1"/>
        <v>47.258872537269347</v>
      </c>
      <c r="C38" s="38">
        <f t="shared" si="2"/>
        <v>47.258872537269347</v>
      </c>
      <c r="D38" s="38">
        <f t="shared" si="3"/>
        <v>2.8206234320960917</v>
      </c>
      <c r="E38" s="39">
        <f t="shared" si="0"/>
        <v>1258.925411794168</v>
      </c>
    </row>
    <row r="39" spans="1:5" x14ac:dyDescent="0.2">
      <c r="A39" s="37">
        <v>32</v>
      </c>
      <c r="B39" s="38">
        <f t="shared" si="1"/>
        <v>47.549663244966403</v>
      </c>
      <c r="C39" s="38">
        <f t="shared" si="2"/>
        <v>47.549663244966403</v>
      </c>
      <c r="D39" s="38">
        <f t="shared" si="3"/>
        <v>2.513472325333395</v>
      </c>
      <c r="E39" s="39">
        <f t="shared" si="0"/>
        <v>1584.8931924611156</v>
      </c>
    </row>
    <row r="40" spans="1:5" x14ac:dyDescent="0.2">
      <c r="A40" s="37">
        <v>33</v>
      </c>
      <c r="B40" s="38">
        <f t="shared" si="1"/>
        <v>47.810300135176661</v>
      </c>
      <c r="C40" s="38">
        <f t="shared" si="2"/>
        <v>47.810300135176661</v>
      </c>
      <c r="D40" s="38">
        <f t="shared" si="3"/>
        <v>2.2398437196459455</v>
      </c>
      <c r="E40" s="39">
        <f t="shared" si="0"/>
        <v>1995.2623149688804</v>
      </c>
    </row>
    <row r="41" spans="1:5" x14ac:dyDescent="0.2">
      <c r="A41" s="37">
        <v>34</v>
      </c>
      <c r="B41" s="38">
        <f t="shared" si="1"/>
        <v>48.043769612742047</v>
      </c>
      <c r="C41" s="38">
        <f t="shared" si="2"/>
        <v>48.043769612742047</v>
      </c>
      <c r="D41" s="38">
        <f t="shared" si="3"/>
        <v>1.9960569595573123</v>
      </c>
      <c r="E41" s="39">
        <f t="shared" si="0"/>
        <v>2511.8864315095811</v>
      </c>
    </row>
    <row r="42" spans="1:5" x14ac:dyDescent="0.2">
      <c r="A42" s="37">
        <v>35</v>
      </c>
      <c r="B42" s="38">
        <f t="shared" si="1"/>
        <v>48.252790850516647</v>
      </c>
      <c r="C42" s="38">
        <f t="shared" si="2"/>
        <v>48.252790850516647</v>
      </c>
      <c r="D42" s="38">
        <f t="shared" si="3"/>
        <v>1.7788419292483058</v>
      </c>
      <c r="E42" s="39">
        <f t="shared" si="0"/>
        <v>3162.2776601683804</v>
      </c>
    </row>
    <row r="43" spans="1:5" x14ac:dyDescent="0.2">
      <c r="A43" s="37">
        <v>36</v>
      </c>
      <c r="B43" s="38">
        <f t="shared" si="1"/>
        <v>48.439833775817036</v>
      </c>
      <c r="C43" s="38">
        <f t="shared" si="2"/>
        <v>48.439833775817036</v>
      </c>
      <c r="D43" s="38">
        <f t="shared" si="3"/>
        <v>1.5852913996567912</v>
      </c>
      <c r="E43" s="39">
        <f t="shared" si="0"/>
        <v>3981.0717055349769</v>
      </c>
    </row>
    <row r="44" spans="1:5" x14ac:dyDescent="0.2">
      <c r="A44" s="37">
        <v>37</v>
      </c>
      <c r="B44" s="38">
        <f t="shared" si="1"/>
        <v>48.607137165854645</v>
      </c>
      <c r="C44" s="38">
        <f t="shared" si="2"/>
        <v>48.607137165854645</v>
      </c>
      <c r="D44" s="38">
        <f t="shared" si="3"/>
        <v>1.4128194391612343</v>
      </c>
      <c r="E44" s="39">
        <f t="shared" si="0"/>
        <v>5011.8723362727324</v>
      </c>
    </row>
    <row r="45" spans="1:5" x14ac:dyDescent="0.2">
      <c r="A45" s="37">
        <v>38</v>
      </c>
      <c r="B45" s="38">
        <f t="shared" si="1"/>
        <v>48.756726474555755</v>
      </c>
      <c r="C45" s="38">
        <f t="shared" si="2"/>
        <v>48.756726474555755</v>
      </c>
      <c r="D45" s="38">
        <f t="shared" si="3"/>
        <v>1.2591249696534528</v>
      </c>
      <c r="E45" s="39">
        <f t="shared" si="0"/>
        <v>6309.5734448019384</v>
      </c>
    </row>
    <row r="46" spans="1:5" x14ac:dyDescent="0.2">
      <c r="A46" s="37">
        <v>39</v>
      </c>
      <c r="B46" s="38">
        <f t="shared" si="1"/>
        <v>48.890431113369225</v>
      </c>
      <c r="C46" s="38">
        <f t="shared" si="2"/>
        <v>48.890431113369225</v>
      </c>
      <c r="D46" s="38">
        <f t="shared" si="3"/>
        <v>1.1221597258414588</v>
      </c>
      <c r="E46" s="39">
        <f t="shared" si="0"/>
        <v>7943.2823472428154</v>
      </c>
    </row>
    <row r="47" spans="1:5" x14ac:dyDescent="0.2">
      <c r="A47" s="37">
        <v>40</v>
      </c>
      <c r="B47" s="38">
        <f t="shared" si="1"/>
        <v>49.009900990099013</v>
      </c>
      <c r="C47" s="38">
        <f t="shared" si="2"/>
        <v>49.009900990099013</v>
      </c>
      <c r="D47" s="38">
        <f t="shared" si="3"/>
        <v>1.000100010001</v>
      </c>
      <c r="E47" s="39">
        <f t="shared" si="0"/>
        <v>10000</v>
      </c>
    </row>
  </sheetData>
  <sheetProtection sheet="1" objects="1" scenarios="1"/>
  <mergeCells count="3">
    <mergeCell ref="G2:G3"/>
    <mergeCell ref="J2:J3"/>
    <mergeCell ref="H5:I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Pi-attenuator</vt:lpstr>
      <vt:lpstr>Tee-attenuator</vt:lpstr>
      <vt:lpstr>PI-List</vt:lpstr>
      <vt:lpstr>Tee-List</vt:lpstr>
      <vt:lpstr>'Pi-attenuator'!Druckbereich</vt:lpstr>
      <vt:lpstr>'PI-List'!Druckbereich</vt:lpstr>
      <vt:lpstr>'Tee-List'!Druckbereich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</dc:creator>
  <cp:lastModifiedBy>GL</cp:lastModifiedBy>
  <cp:lastPrinted>2019-02-19T07:38:32Z</cp:lastPrinted>
  <dcterms:created xsi:type="dcterms:W3CDTF">2019-01-25T12:45:21Z</dcterms:created>
  <dcterms:modified xsi:type="dcterms:W3CDTF">2024-04-14T06:55:05Z</dcterms:modified>
  <cp:version>1.03</cp:version>
</cp:coreProperties>
</file>