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425"/>
  </bookViews>
  <sheets>
    <sheet name="Calc" sheetId="1" r:id="rId1"/>
    <sheet name="Transformer" sheetId="7" r:id="rId2"/>
  </sheets>
  <externalReferences>
    <externalReference r:id="rId3"/>
  </externalReferences>
  <definedNames>
    <definedName name="Beta" localSheetId="0">Calc!$G$9</definedName>
    <definedName name="DCBeta" localSheetId="0">Calc!$C$7</definedName>
    <definedName name="_xlnm.Print_Area" localSheetId="0">Calc!$A$1:$R$37</definedName>
    <definedName name="Ft" localSheetId="1">[1]Calc!$C$8</definedName>
    <definedName name="Ft">Calc!$C$8</definedName>
    <definedName name="Re" localSheetId="0">Calc!$G$30</definedName>
    <definedName name="RFB" localSheetId="0">Calc!$C$32</definedName>
    <definedName name="ZLoad" localSheetId="0">Calc!$G$6</definedName>
    <definedName name="ZOut" localSheetId="0">Calc!$G$5</definedName>
    <definedName name="ZSource" localSheetId="0">Calc!$C$5</definedName>
  </definedNames>
  <calcPr calcId="145621"/>
</workbook>
</file>

<file path=xl/calcChain.xml><?xml version="1.0" encoding="utf-8"?>
<calcChain xmlns="http://schemas.openxmlformats.org/spreadsheetml/2006/main">
  <c r="C7" i="7" l="1"/>
  <c r="C8" i="7"/>
  <c r="C9" i="7"/>
  <c r="B4" i="7"/>
  <c r="A20" i="1"/>
  <c r="G30" i="1"/>
  <c r="G27" i="1"/>
  <c r="J34" i="1"/>
  <c r="U29" i="1"/>
  <c r="X29" i="1"/>
  <c r="U13" i="1"/>
  <c r="X13" i="1"/>
  <c r="A29" i="1"/>
  <c r="A13" i="1"/>
  <c r="U26" i="1"/>
  <c r="U27" i="1"/>
  <c r="U28" i="1"/>
  <c r="U30" i="1"/>
  <c r="U7" i="1"/>
  <c r="U8" i="1"/>
  <c r="U9" i="1"/>
  <c r="U10" i="1"/>
  <c r="U11" i="1"/>
  <c r="X11" i="1"/>
  <c r="U12" i="1"/>
  <c r="U14" i="1"/>
  <c r="U15" i="1"/>
  <c r="U16" i="1"/>
  <c r="U17" i="1"/>
  <c r="U18" i="1"/>
  <c r="U19" i="1"/>
  <c r="U20" i="1"/>
  <c r="U21" i="1"/>
  <c r="U22" i="1"/>
  <c r="X22" i="1"/>
  <c r="U23" i="1"/>
  <c r="U24" i="1"/>
  <c r="U25" i="1"/>
  <c r="U6" i="1"/>
  <c r="G9" i="1"/>
  <c r="F6" i="1"/>
  <c r="G6" i="1"/>
  <c r="V17" i="1"/>
  <c r="F9" i="1"/>
  <c r="E11" i="1"/>
  <c r="F11" i="1"/>
  <c r="G11" i="1"/>
  <c r="D12" i="1"/>
  <c r="F12" i="1"/>
  <c r="G12" i="1"/>
  <c r="D13" i="1"/>
  <c r="E13" i="1"/>
  <c r="F13" i="1"/>
  <c r="G16" i="1"/>
  <c r="G19" i="1"/>
  <c r="G20" i="1"/>
  <c r="G23" i="1"/>
  <c r="J28" i="1"/>
  <c r="J33" i="1"/>
  <c r="J36" i="1"/>
  <c r="G21" i="1"/>
  <c r="G28" i="1"/>
  <c r="J37" i="1"/>
  <c r="G24" i="1"/>
  <c r="C27" i="1"/>
  <c r="G22" i="1"/>
  <c r="J35" i="1"/>
  <c r="J27" i="1"/>
  <c r="X18" i="1"/>
  <c r="X7" i="1"/>
  <c r="X6" i="1"/>
  <c r="W30" i="1"/>
  <c r="X26" i="1"/>
  <c r="V8" i="1"/>
  <c r="X16" i="1"/>
  <c r="V23" i="1"/>
  <c r="W27" i="1"/>
  <c r="V16" i="1"/>
  <c r="W10" i="1"/>
  <c r="V15" i="1"/>
  <c r="X14" i="1"/>
  <c r="W8" i="1"/>
  <c r="W25" i="1"/>
  <c r="V6" i="1"/>
  <c r="W12" i="1"/>
  <c r="X23" i="1"/>
  <c r="X12" i="1"/>
  <c r="X15" i="1"/>
  <c r="X8" i="1"/>
  <c r="W24" i="1"/>
  <c r="X21" i="1"/>
  <c r="G31" i="1"/>
  <c r="D32" i="1"/>
  <c r="G34" i="1"/>
  <c r="W6" i="1"/>
  <c r="X24" i="1"/>
  <c r="W14" i="1"/>
  <c r="W28" i="1"/>
  <c r="W19" i="1"/>
  <c r="G36" i="1"/>
  <c r="G37" i="1"/>
  <c r="W16" i="1"/>
  <c r="W23" i="1"/>
  <c r="X17" i="1"/>
  <c r="X19" i="1"/>
  <c r="X25" i="1"/>
  <c r="V22" i="1"/>
  <c r="X10" i="1"/>
  <c r="V7" i="1"/>
  <c r="X27" i="1"/>
  <c r="V28" i="1"/>
  <c r="X20" i="1"/>
  <c r="V26" i="1"/>
  <c r="V12" i="1"/>
  <c r="W9" i="1"/>
  <c r="W17" i="1"/>
  <c r="W21" i="1"/>
  <c r="V13" i="1"/>
  <c r="X28" i="1"/>
  <c r="X9" i="1"/>
  <c r="X30" i="1"/>
  <c r="W15" i="1"/>
  <c r="V19" i="1"/>
  <c r="W29" i="1"/>
  <c r="W18" i="1"/>
  <c r="W22" i="1"/>
  <c r="V30" i="1"/>
  <c r="V25" i="1"/>
  <c r="W20" i="1"/>
  <c r="W7" i="1"/>
  <c r="W26" i="1"/>
  <c r="V10" i="1"/>
  <c r="V18" i="1"/>
  <c r="V29" i="1"/>
  <c r="V9" i="1"/>
  <c r="V14" i="1"/>
  <c r="W11" i="1"/>
  <c r="V24" i="1"/>
  <c r="V11" i="1"/>
  <c r="G35" i="1"/>
  <c r="V27" i="1"/>
  <c r="V20" i="1"/>
  <c r="V21" i="1"/>
  <c r="W13" i="1"/>
  <c r="G26" i="1"/>
  <c r="J32" i="1"/>
</calcChain>
</file>

<file path=xl/comments1.xml><?xml version="1.0" encoding="utf-8"?>
<comments xmlns="http://schemas.openxmlformats.org/spreadsheetml/2006/main">
  <authors>
    <author>GL</author>
  </authors>
  <commentList>
    <comment ref="G6" authorId="0">
      <text>
        <r>
          <rPr>
            <b/>
            <sz val="10"/>
            <color indexed="81"/>
            <rFont val="Tahoma"/>
            <family val="2"/>
          </rPr>
          <t>Transformed load
seen by the collector</t>
        </r>
      </text>
    </comment>
    <comment ref="G16" authorId="0">
      <text>
        <r>
          <rPr>
            <b/>
            <sz val="10"/>
            <color indexed="81"/>
            <rFont val="Tahoma"/>
            <family val="2"/>
          </rPr>
          <t>DC input power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~ 0.6...0.7 V for Si-Trans.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=(VC-VB)/(IB+IBB)</t>
        </r>
      </text>
    </comment>
    <comment ref="C27" authorId="0">
      <text>
        <r>
          <rPr>
            <b/>
            <sz val="10"/>
            <color indexed="81"/>
            <rFont val="Tahoma"/>
            <family val="2"/>
          </rPr>
          <t>Multiple of base current I</t>
        </r>
        <r>
          <rPr>
            <b/>
            <sz val="8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Tahoma"/>
            <family val="2"/>
          </rPr>
          <t xml:space="preserve">
Should be &gt;~ 5...10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=VB/IBB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Effective emitter degeneration
R5 parallel to R4 + 26/Ie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Collector to base feedback R2
for best impedance match</t>
        </r>
      </text>
    </comment>
  </commentList>
</comments>
</file>

<file path=xl/sharedStrings.xml><?xml version="1.0" encoding="utf-8"?>
<sst xmlns="http://schemas.openxmlformats.org/spreadsheetml/2006/main" count="93" uniqueCount="92">
  <si>
    <t>mW</t>
  </si>
  <si>
    <t>dBm</t>
  </si>
  <si>
    <r>
      <t>DC-Beta (h</t>
    </r>
    <r>
      <rPr>
        <sz val="8"/>
        <color indexed="8"/>
        <rFont val="Calibri"/>
        <family val="2"/>
      </rPr>
      <t>fe</t>
    </r>
    <r>
      <rPr>
        <sz val="11"/>
        <color theme="1"/>
        <rFont val="Calibri"/>
        <family val="2"/>
        <scheme val="minor"/>
      </rPr>
      <t>)</t>
    </r>
  </si>
  <si>
    <t>Transistor</t>
  </si>
  <si>
    <t>Beta</t>
  </si>
  <si>
    <r>
      <t>Transducer Gain G</t>
    </r>
    <r>
      <rPr>
        <b/>
        <sz val="9"/>
        <color indexed="12"/>
        <rFont val="Calibri"/>
        <family val="2"/>
      </rPr>
      <t>T</t>
    </r>
    <r>
      <rPr>
        <b/>
        <sz val="11"/>
        <color indexed="12"/>
        <rFont val="Calibri"/>
        <family val="2"/>
      </rPr>
      <t xml:space="preserve"> (dB)</t>
    </r>
  </si>
  <si>
    <t>R1</t>
  </si>
  <si>
    <t>R2</t>
  </si>
  <si>
    <t>R3</t>
  </si>
  <si>
    <t>R4</t>
  </si>
  <si>
    <t>R5</t>
  </si>
  <si>
    <t>R6</t>
  </si>
  <si>
    <t>FT23-43</t>
  </si>
  <si>
    <t>FT23-61</t>
  </si>
  <si>
    <t>FT23-77</t>
  </si>
  <si>
    <t>FT37-43</t>
  </si>
  <si>
    <t>FT37-61</t>
  </si>
  <si>
    <t>FT37-77</t>
  </si>
  <si>
    <t>FT50-43</t>
  </si>
  <si>
    <t>FT50-61</t>
  </si>
  <si>
    <t>FT50-77</t>
  </si>
  <si>
    <t>BN43-202</t>
  </si>
  <si>
    <t>BN43-2402</t>
  </si>
  <si>
    <t>BN61-202</t>
  </si>
  <si>
    <t>BN61-2402</t>
  </si>
  <si>
    <t>BN73-202</t>
  </si>
  <si>
    <t>BN73-2402</t>
  </si>
  <si>
    <t>Z-Load (Ohm)</t>
  </si>
  <si>
    <t>R4*</t>
  </si>
  <si>
    <t>R5*</t>
  </si>
  <si>
    <t>Freq</t>
  </si>
  <si>
    <t>Gain GT (dB)</t>
  </si>
  <si>
    <t>Zin (Ohm)</t>
  </si>
  <si>
    <t>Zout (Ohm)</t>
  </si>
  <si>
    <t>Datentabelle für Grafiken</t>
  </si>
  <si>
    <t>BFR96S</t>
  </si>
  <si>
    <t>Calculation RF amplifier following W7ZOI, EMRFD</t>
  </si>
  <si>
    <t>Inputs are yellow</t>
  </si>
  <si>
    <t>Input impedance Zin (Ohm)</t>
  </si>
  <si>
    <t>Gain-Bandwidth Product Ft</t>
  </si>
  <si>
    <t>HF frequency (MHz)</t>
  </si>
  <si>
    <t>Options for power calculation</t>
  </si>
  <si>
    <t>Output power (mW)</t>
  </si>
  <si>
    <t>Output power (dBm)</t>
  </si>
  <si>
    <t>HF Output power (mW)</t>
  </si>
  <si>
    <t>DC biasing</t>
  </si>
  <si>
    <t>DC Supply voltage Vcc (V)</t>
  </si>
  <si>
    <t>Voltage drop at decoupling R6 (V)</t>
  </si>
  <si>
    <t>VBE (B-E-Diode voltage drop) (V)</t>
  </si>
  <si>
    <t>Std.value emitter degeneration R5 (Ohm)</t>
  </si>
  <si>
    <t>Std. value base feedback R2 (Ohm)</t>
  </si>
  <si>
    <t>Output impedance Zout (Ohm)</t>
  </si>
  <si>
    <t>Vrms</t>
  </si>
  <si>
    <t>Vpp</t>
  </si>
  <si>
    <t>=&gt; DC input power (mW)</t>
  </si>
  <si>
    <r>
      <t>=&gt; Collector voltage V</t>
    </r>
    <r>
      <rPr>
        <sz val="8"/>
        <color indexed="8"/>
        <rFont val="Calibri"/>
        <family val="2"/>
      </rPr>
      <t>C</t>
    </r>
    <r>
      <rPr>
        <sz val="11"/>
        <color theme="1"/>
        <rFont val="Calibri"/>
        <family val="2"/>
        <scheme val="minor"/>
      </rPr>
      <t xml:space="preserve"> (V)</t>
    </r>
  </si>
  <si>
    <r>
      <t>=&gt; Coll.-Emitter voltage V</t>
    </r>
    <r>
      <rPr>
        <sz val="8"/>
        <color indexed="8"/>
        <rFont val="Calibri"/>
        <family val="2"/>
      </rPr>
      <t>CE</t>
    </r>
    <r>
      <rPr>
        <sz val="11"/>
        <color theme="1"/>
        <rFont val="Calibri"/>
        <family val="2"/>
        <scheme val="minor"/>
      </rPr>
      <t xml:space="preserve"> (V)</t>
    </r>
  </si>
  <si>
    <r>
      <t>=&gt; Emitter current I</t>
    </r>
    <r>
      <rPr>
        <sz val="8"/>
        <color indexed="8"/>
        <rFont val="Calibri"/>
        <family val="2"/>
      </rPr>
      <t>E</t>
    </r>
    <r>
      <rPr>
        <sz val="11"/>
        <color theme="1"/>
        <rFont val="Calibri"/>
        <family val="2"/>
        <scheme val="minor"/>
      </rPr>
      <t xml:space="preserve"> (mA)</t>
    </r>
  </si>
  <si>
    <r>
      <t>=&gt; Base voltage V</t>
    </r>
    <r>
      <rPr>
        <sz val="8"/>
        <color indexed="8"/>
        <rFont val="Calibri"/>
        <family val="2"/>
      </rPr>
      <t>B</t>
    </r>
    <r>
      <rPr>
        <sz val="11"/>
        <color theme="1"/>
        <rFont val="Calibri"/>
        <family val="2"/>
        <scheme val="minor"/>
      </rPr>
      <t xml:space="preserve"> (V)</t>
    </r>
  </si>
  <si>
    <r>
      <t>=&gt; Base current I</t>
    </r>
    <r>
      <rPr>
        <sz val="8"/>
        <color indexed="8"/>
        <rFont val="Calibri"/>
        <family val="2"/>
      </rPr>
      <t>B</t>
    </r>
    <r>
      <rPr>
        <sz val="11"/>
        <color theme="1"/>
        <rFont val="Calibri"/>
        <family val="2"/>
        <scheme val="minor"/>
      </rPr>
      <t xml:space="preserve"> (mA)</t>
    </r>
  </si>
  <si>
    <t>=&gt; Emitter resistor R4 (Ohm)</t>
  </si>
  <si>
    <t>=&gt; Base divider R3 (Ohm)</t>
  </si>
  <si>
    <t>=&gt; Base divider R1+R2 (Ohm)</t>
  </si>
  <si>
    <t>=&gt; Decoupling R6 (Ohm)</t>
  </si>
  <si>
    <r>
      <t>Input impedance Z</t>
    </r>
    <r>
      <rPr>
        <b/>
        <sz val="9"/>
        <color indexed="12"/>
        <rFont val="Calibri"/>
        <family val="2"/>
      </rPr>
      <t>in</t>
    </r>
    <r>
      <rPr>
        <b/>
        <sz val="11"/>
        <color indexed="12"/>
        <rFont val="Calibri"/>
        <family val="2"/>
      </rPr>
      <t xml:space="preserve"> (Ohm)</t>
    </r>
  </si>
  <si>
    <r>
      <t>Load impedance Z</t>
    </r>
    <r>
      <rPr>
        <b/>
        <sz val="9"/>
        <color indexed="12"/>
        <rFont val="Calibri"/>
        <family val="2"/>
      </rPr>
      <t>Load</t>
    </r>
    <r>
      <rPr>
        <b/>
        <sz val="11"/>
        <color indexed="12"/>
        <rFont val="Calibri"/>
        <family val="2"/>
      </rPr>
      <t xml:space="preserve"> (Ohm)</t>
    </r>
  </si>
  <si>
    <r>
      <t>Output impedance Z</t>
    </r>
    <r>
      <rPr>
        <b/>
        <sz val="9"/>
        <color indexed="12"/>
        <rFont val="Calibri"/>
        <family val="2"/>
      </rPr>
      <t>out</t>
    </r>
    <r>
      <rPr>
        <b/>
        <sz val="11"/>
        <color indexed="12"/>
        <rFont val="Calibri"/>
        <family val="2"/>
      </rPr>
      <t xml:space="preserve"> (Ohm)</t>
    </r>
  </si>
  <si>
    <t>Calculated</t>
  </si>
  <si>
    <t>Std. values</t>
  </si>
  <si>
    <t xml:space="preserve"> =&gt; Best R2=(Zin*Zload)/Re (Ohm)</t>
  </si>
  <si>
    <r>
      <t>=&gt; Re=(R5 II R4)+26/I</t>
    </r>
    <r>
      <rPr>
        <sz val="9"/>
        <color indexed="8"/>
        <rFont val="Calibri"/>
        <family val="2"/>
      </rPr>
      <t>E</t>
    </r>
    <r>
      <rPr>
        <sz val="11"/>
        <color indexed="8"/>
        <rFont val="Calibri"/>
        <family val="2"/>
      </rPr>
      <t xml:space="preserve"> (Ohm)</t>
    </r>
  </si>
  <si>
    <t>E24 standards</t>
  </si>
  <si>
    <t>E24 standard values:</t>
  </si>
  <si>
    <t>This sheet is protected (no password)</t>
  </si>
  <si>
    <t>V2.1 DL6GL, 06.03.2016</t>
  </si>
  <si>
    <t>Optional</t>
  </si>
  <si>
    <t>Series emitter degeneration</t>
  </si>
  <si>
    <t>Parallel emitter degeneration</t>
  </si>
  <si>
    <r>
      <t>Base divider current I</t>
    </r>
    <r>
      <rPr>
        <sz val="8"/>
        <color indexed="8"/>
        <rFont val="Calibri"/>
        <family val="2"/>
      </rPr>
      <t>BB</t>
    </r>
    <r>
      <rPr>
        <sz val="11"/>
        <color theme="1"/>
        <rFont val="Calibri"/>
        <family val="2"/>
        <scheme val="minor"/>
      </rPr>
      <t xml:space="preserve"> R1/R2/R3 (mA)</t>
    </r>
  </si>
  <si>
    <t>Class A amp efficiency (~20-30%)</t>
  </si>
  <si>
    <t>Transformer calculation</t>
  </si>
  <si>
    <t>Toroid</t>
  </si>
  <si>
    <t>AL (nH/T^2)</t>
  </si>
  <si>
    <t>Choose toroid</t>
  </si>
  <si>
    <t>Lowest frequenzy (MHz)</t>
  </si>
  <si>
    <t>Impedance multipier (&gt;= 4)</t>
  </si>
  <si>
    <t>=minimum Impedance</t>
  </si>
  <si>
    <t>Inductivity needed(uH)</t>
  </si>
  <si>
    <t>Bifilar turns</t>
  </si>
  <si>
    <r>
      <t>Choose base divider current &gt; 5*I</t>
    </r>
    <r>
      <rPr>
        <sz val="8"/>
        <color indexed="12"/>
        <rFont val="Calibri"/>
        <family val="2"/>
      </rPr>
      <t>B</t>
    </r>
    <r>
      <rPr>
        <sz val="11"/>
        <color indexed="12"/>
        <rFont val="Calibri"/>
        <family val="2"/>
      </rPr>
      <t xml:space="preserve"> to get std. values for R1 and R3</t>
    </r>
  </si>
  <si>
    <r>
      <t>= Multiple of base current I</t>
    </r>
    <r>
      <rPr>
        <sz val="8"/>
        <color indexed="8"/>
        <rFont val="Calibri"/>
        <family val="2"/>
      </rPr>
      <t>B</t>
    </r>
  </si>
  <si>
    <t>Test BFR96S-Verstärker 21dBm/21dB seriell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</si>
</sst>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12"/>
      <name val="Calibri"/>
      <family val="2"/>
    </font>
    <font>
      <b/>
      <sz val="9"/>
      <color indexed="12"/>
      <name val="Calibri"/>
      <family val="2"/>
    </font>
    <font>
      <b/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2"/>
      <name val="Calibri"/>
      <family val="2"/>
    </font>
    <font>
      <sz val="11"/>
      <color indexed="12"/>
      <name val="Calibri"/>
      <family val="2"/>
    </font>
    <font>
      <b/>
      <sz val="9"/>
      <color indexed="81"/>
      <name val="Tahoma"/>
      <family val="2"/>
    </font>
    <font>
      <sz val="11"/>
      <color indexed="12"/>
      <name val="Calibri"/>
      <family val="2"/>
    </font>
    <font>
      <sz val="8"/>
      <color indexed="8"/>
      <name val="Calibri"/>
      <family val="2"/>
    </font>
    <font>
      <sz val="8"/>
      <color indexed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9" fillId="0" borderId="0" xfId="0" applyFont="1"/>
    <xf numFmtId="164" fontId="10" fillId="2" borderId="1" xfId="0" applyNumberFormat="1" applyFont="1" applyFill="1" applyBorder="1"/>
    <xf numFmtId="4" fontId="10" fillId="2" borderId="1" xfId="0" applyNumberFormat="1" applyFont="1" applyFill="1" applyBorder="1"/>
    <xf numFmtId="3" fontId="10" fillId="2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3" fontId="11" fillId="2" borderId="1" xfId="0" applyNumberFormat="1" applyFont="1" applyFill="1" applyBorder="1"/>
    <xf numFmtId="0" fontId="0" fillId="0" borderId="0" xfId="0" quotePrefix="1" applyAlignment="1">
      <alignment horizontal="left"/>
    </xf>
    <xf numFmtId="2" fontId="0" fillId="0" borderId="0" xfId="0" applyNumberFormat="1"/>
    <xf numFmtId="0" fontId="0" fillId="0" borderId="0" xfId="0" quotePrefix="1"/>
    <xf numFmtId="0" fontId="0" fillId="0" borderId="1" xfId="0" applyBorder="1"/>
    <xf numFmtId="166" fontId="0" fillId="0" borderId="0" xfId="0" applyNumberFormat="1"/>
    <xf numFmtId="0" fontId="0" fillId="0" borderId="0" xfId="0" quotePrefix="1" applyFill="1" applyBorder="1" applyAlignment="1">
      <alignment horizontal="right"/>
    </xf>
    <xf numFmtId="165" fontId="11" fillId="2" borderId="1" xfId="0" applyNumberFormat="1" applyFont="1" applyFill="1" applyBorder="1"/>
    <xf numFmtId="0" fontId="12" fillId="0" borderId="0" xfId="0" applyFont="1"/>
    <xf numFmtId="4" fontId="10" fillId="0" borderId="1" xfId="0" applyNumberFormat="1" applyFont="1" applyFill="1" applyBorder="1"/>
    <xf numFmtId="0" fontId="13" fillId="0" borderId="0" xfId="0" applyFont="1" applyFill="1" applyBorder="1"/>
    <xf numFmtId="0" fontId="0" fillId="0" borderId="0" xfId="0" applyAlignment="1">
      <alignment horizontal="left"/>
    </xf>
    <xf numFmtId="165" fontId="0" fillId="2" borderId="1" xfId="0" applyNumberFormat="1" applyFill="1" applyBorder="1"/>
    <xf numFmtId="0" fontId="0" fillId="3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3" fontId="0" fillId="3" borderId="1" xfId="0" applyNumberFormat="1" applyFill="1" applyBorder="1" applyProtection="1">
      <protection locked="0"/>
    </xf>
    <xf numFmtId="3" fontId="0" fillId="2" borderId="1" xfId="0" applyNumberFormat="1" applyFill="1" applyBorder="1"/>
    <xf numFmtId="4" fontId="11" fillId="2" borderId="1" xfId="0" applyNumberFormat="1" applyFont="1" applyFill="1" applyBorder="1"/>
    <xf numFmtId="0" fontId="12" fillId="0" borderId="0" xfId="0" applyFont="1" applyAlignment="1">
      <alignment horizontal="center"/>
    </xf>
    <xf numFmtId="166" fontId="0" fillId="3" borderId="1" xfId="0" applyNumberFormat="1" applyFill="1" applyBorder="1" applyProtection="1">
      <protection locked="0"/>
    </xf>
    <xf numFmtId="3" fontId="0" fillId="0" borderId="0" xfId="0" applyNumberFormat="1"/>
    <xf numFmtId="0" fontId="0" fillId="3" borderId="1" xfId="0" applyFill="1" applyBorder="1"/>
    <xf numFmtId="0" fontId="0" fillId="3" borderId="2" xfId="0" applyFill="1" applyBorder="1"/>
    <xf numFmtId="0" fontId="0" fillId="2" borderId="1" xfId="0" applyFill="1" applyBorder="1"/>
    <xf numFmtId="4" fontId="0" fillId="2" borderId="1" xfId="0" applyNumberFormat="1" applyFill="1" applyBorder="1"/>
    <xf numFmtId="166" fontId="0" fillId="2" borderId="1" xfId="0" applyNumberFormat="1" applyFill="1" applyBorder="1"/>
    <xf numFmtId="0" fontId="0" fillId="3" borderId="3" xfId="0" applyFill="1" applyBorder="1" applyProtection="1">
      <protection locked="0"/>
    </xf>
    <xf numFmtId="0" fontId="0" fillId="0" borderId="0" xfId="0" applyFill="1" applyBorder="1"/>
    <xf numFmtId="0" fontId="0" fillId="0" borderId="4" xfId="0" applyFill="1" applyBorder="1"/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8" fillId="0" borderId="0" xfId="0" applyFont="1"/>
    <xf numFmtId="0" fontId="4" fillId="0" borderId="0" xfId="0" applyFont="1"/>
    <xf numFmtId="165" fontId="0" fillId="0" borderId="6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3" fontId="10" fillId="0" borderId="4" xfId="0" applyNumberFormat="1" applyFont="1" applyFill="1" applyBorder="1"/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9" fillId="0" borderId="0" xfId="0" quotePrefix="1" applyFont="1"/>
    <xf numFmtId="0" fontId="9" fillId="3" borderId="7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4" borderId="2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Transducer Gain GT (dB)</a:t>
            </a:r>
          </a:p>
        </c:rich>
      </c:tx>
      <c:layout>
        <c:manualLayout>
          <c:xMode val="edge"/>
          <c:yMode val="edge"/>
          <c:x val="0.30654405536500412"/>
          <c:y val="9.259210491665130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557379879084628E-2"/>
          <c:y val="9.5555828958880137E-2"/>
          <c:w val="0.88964568890772067"/>
          <c:h val="0.75142716535433074"/>
        </c:manualLayout>
      </c:layout>
      <c:lineChart>
        <c:grouping val="standard"/>
        <c:varyColors val="0"/>
        <c:ser>
          <c:idx val="1"/>
          <c:order val="0"/>
          <c:tx>
            <c:strRef>
              <c:f>Calc!$V$5</c:f>
              <c:strCache>
                <c:ptCount val="1"/>
                <c:pt idx="0">
                  <c:v>Gain GT (dB)</c:v>
                </c:pt>
              </c:strCache>
            </c:strRef>
          </c:tx>
          <c:spPr>
            <a:ln w="12700">
              <a:solidFill>
                <a:srgbClr val="002060"/>
              </a:solidFill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Calc!$T$6:$T$30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</c:numCache>
            </c:numRef>
          </c:cat>
          <c:val>
            <c:numRef>
              <c:f>Calc!$V$6:$V$30</c:f>
              <c:numCache>
                <c:formatCode>0.0</c:formatCode>
                <c:ptCount val="25"/>
                <c:pt idx="0">
                  <c:v>21.668559254046773</c:v>
                </c:pt>
                <c:pt idx="1">
                  <c:v>21.654497404370929</c:v>
                </c:pt>
                <c:pt idx="2">
                  <c:v>21.640458219764351</c:v>
                </c:pt>
                <c:pt idx="3">
                  <c:v>21.626441627179005</c:v>
                </c:pt>
                <c:pt idx="4">
                  <c:v>21.612447553919406</c:v>
                </c:pt>
                <c:pt idx="5">
                  <c:v>21.598475927640383</c:v>
                </c:pt>
                <c:pt idx="6">
                  <c:v>21.584526676344836</c:v>
                </c:pt>
                <c:pt idx="7">
                  <c:v>21.570599728381495</c:v>
                </c:pt>
                <c:pt idx="8">
                  <c:v>21.556695012442692</c:v>
                </c:pt>
                <c:pt idx="9">
                  <c:v>21.542812457562228</c:v>
                </c:pt>
                <c:pt idx="10">
                  <c:v>21.528951993113111</c:v>
                </c:pt>
                <c:pt idx="11">
                  <c:v>21.515113548805473</c:v>
                </c:pt>
                <c:pt idx="12">
                  <c:v>21.50129705468439</c:v>
                </c:pt>
                <c:pt idx="13">
                  <c:v>21.487502441127759</c:v>
                </c:pt>
                <c:pt idx="14">
                  <c:v>21.473729638844191</c:v>
                </c:pt>
                <c:pt idx="15">
                  <c:v>21.459978578870942</c:v>
                </c:pt>
                <c:pt idx="16">
                  <c:v>21.446249192571806</c:v>
                </c:pt>
                <c:pt idx="17">
                  <c:v>21.432541411635068</c:v>
                </c:pt>
                <c:pt idx="18">
                  <c:v>21.418855168071474</c:v>
                </c:pt>
                <c:pt idx="19">
                  <c:v>21.405190394212195</c:v>
                </c:pt>
                <c:pt idx="20">
                  <c:v>21.39154702270681</c:v>
                </c:pt>
                <c:pt idx="21">
                  <c:v>21.377924986521322</c:v>
                </c:pt>
                <c:pt idx="22">
                  <c:v>21.364324218936179</c:v>
                </c:pt>
                <c:pt idx="23">
                  <c:v>21.350744653544297</c:v>
                </c:pt>
                <c:pt idx="24">
                  <c:v>21.33718622424913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8976"/>
        <c:axId val="169601280"/>
      </c:lineChart>
      <c:catAx>
        <c:axId val="1695989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/>
                  <a:t>MHz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9601280"/>
        <c:crosses val="autoZero"/>
        <c:auto val="1"/>
        <c:lblAlgn val="ctr"/>
        <c:lblOffset val="100"/>
        <c:noMultiLvlLbl val="0"/>
      </c:catAx>
      <c:valAx>
        <c:axId val="169601280"/>
        <c:scaling>
          <c:logBase val="10"/>
          <c:orientation val="minMax"/>
          <c:max val="30"/>
        </c:scaling>
        <c:delete val="0"/>
        <c:axPos val="l"/>
        <c:majorGridlines/>
        <c:min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9598976"/>
        <c:crossesAt val="1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25684233584049E-2"/>
          <c:y val="8.8016583154378436E-2"/>
          <c:w val="0.90867804154883025"/>
          <c:h val="0.74970711047482697"/>
        </c:manualLayout>
      </c:layout>
      <c:lineChart>
        <c:grouping val="standard"/>
        <c:varyColors val="0"/>
        <c:ser>
          <c:idx val="1"/>
          <c:order val="0"/>
          <c:tx>
            <c:strRef>
              <c:f>Calc!$W$5</c:f>
              <c:strCache>
                <c:ptCount val="1"/>
                <c:pt idx="0">
                  <c:v>Zin (Ohm)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Calc!$T$6:$T$30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</c:numCache>
            </c:numRef>
          </c:cat>
          <c:val>
            <c:numRef>
              <c:f>Calc!$W$6:$W$30</c:f>
              <c:numCache>
                <c:formatCode>0.0</c:formatCode>
                <c:ptCount val="25"/>
                <c:pt idx="0">
                  <c:v>52.62666824994885</c:v>
                </c:pt>
                <c:pt idx="1">
                  <c:v>52.49546752537838</c:v>
                </c:pt>
                <c:pt idx="2">
                  <c:v>52.365023407104403</c:v>
                </c:pt>
                <c:pt idx="3">
                  <c:v>52.235329369165704</c:v>
                </c:pt>
                <c:pt idx="4">
                  <c:v>52.106378960437112</c:v>
                </c:pt>
                <c:pt idx="5">
                  <c:v>51.978165803559882</c:v>
                </c:pt>
                <c:pt idx="6">
                  <c:v>51.850683593890317</c:v>
                </c:pt>
                <c:pt idx="7">
                  <c:v>51.723926098466293</c:v>
                </c:pt>
                <c:pt idx="8">
                  <c:v>51.597887154991469</c:v>
                </c:pt>
                <c:pt idx="9">
                  <c:v>51.472560670836636</c:v>
                </c:pt>
                <c:pt idx="10">
                  <c:v>51.347940622057969</c:v>
                </c:pt>
                <c:pt idx="11">
                  <c:v>51.224021052431802</c:v>
                </c:pt>
                <c:pt idx="12">
                  <c:v>51.100796072505766</c:v>
                </c:pt>
                <c:pt idx="13">
                  <c:v>50.978259858665638</c:v>
                </c:pt>
                <c:pt idx="14">
                  <c:v>50.856406652217963</c:v>
                </c:pt>
                <c:pt idx="15">
                  <c:v>50.735230758487894</c:v>
                </c:pt>
                <c:pt idx="16">
                  <c:v>50.614726545932051</c:v>
                </c:pt>
                <c:pt idx="17">
                  <c:v>50.494888445266106</c:v>
                </c:pt>
                <c:pt idx="18">
                  <c:v>50.375710948606724</c:v>
                </c:pt>
                <c:pt idx="19">
                  <c:v>50.257188608627779</c:v>
                </c:pt>
                <c:pt idx="20">
                  <c:v>50.139316037730339</c:v>
                </c:pt>
                <c:pt idx="21">
                  <c:v>50.022087907226343</c:v>
                </c:pt>
                <c:pt idx="22">
                  <c:v>49.905498946535516</c:v>
                </c:pt>
                <c:pt idx="23">
                  <c:v>49.789543942395547</c:v>
                </c:pt>
                <c:pt idx="24">
                  <c:v>49.674217738085012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Calc!$X$5</c:f>
              <c:strCache>
                <c:ptCount val="1"/>
                <c:pt idx="0">
                  <c:v>Zout (Ohm)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Calc!$T$6:$T$30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</c:numCache>
            </c:numRef>
          </c:cat>
          <c:val>
            <c:numRef>
              <c:f>Calc!$X$6:$X$30</c:f>
              <c:numCache>
                <c:formatCode>0.0</c:formatCode>
                <c:ptCount val="25"/>
                <c:pt idx="0">
                  <c:v>43.064136520741513</c:v>
                </c:pt>
                <c:pt idx="1">
                  <c:v>43.177456517185959</c:v>
                </c:pt>
                <c:pt idx="2">
                  <c:v>43.290685966290063</c:v>
                </c:pt>
                <c:pt idx="3">
                  <c:v>43.403824976537059</c:v>
                </c:pt>
                <c:pt idx="4">
                  <c:v>43.516873656236946</c:v>
                </c:pt>
                <c:pt idx="5">
                  <c:v>43.629832113526852</c:v>
                </c:pt>
                <c:pt idx="6">
                  <c:v>43.742700456371381</c:v>
                </c:pt>
                <c:pt idx="7">
                  <c:v>43.855478792562927</c:v>
                </c:pt>
                <c:pt idx="8">
                  <c:v>43.96816722972202</c:v>
                </c:pt>
                <c:pt idx="9">
                  <c:v>44.080765875297736</c:v>
                </c:pt>
                <c:pt idx="10">
                  <c:v>44.193274836567916</c:v>
                </c:pt>
                <c:pt idx="11">
                  <c:v>44.305694220639644</c:v>
                </c:pt>
                <c:pt idx="12">
                  <c:v>44.418024134449489</c:v>
                </c:pt>
                <c:pt idx="13">
                  <c:v>44.53026468476385</c:v>
                </c:pt>
                <c:pt idx="14">
                  <c:v>44.642415978179358</c:v>
                </c:pt>
                <c:pt idx="15">
                  <c:v>44.754478121123142</c:v>
                </c:pt>
                <c:pt idx="16">
                  <c:v>44.866451219853225</c:v>
                </c:pt>
                <c:pt idx="17">
                  <c:v>44.978335380458823</c:v>
                </c:pt>
                <c:pt idx="18">
                  <c:v>45.090130708860691</c:v>
                </c:pt>
                <c:pt idx="19">
                  <c:v>45.201837310811435</c:v>
                </c:pt>
                <c:pt idx="20">
                  <c:v>45.313455291895906</c:v>
                </c:pt>
                <c:pt idx="21">
                  <c:v>45.424984757531455</c:v>
                </c:pt>
                <c:pt idx="22">
                  <c:v>45.536425812968325</c:v>
                </c:pt>
                <c:pt idx="23">
                  <c:v>45.64777856328994</c:v>
                </c:pt>
                <c:pt idx="24">
                  <c:v>45.759043113413306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30656"/>
        <c:axId val="169849600"/>
      </c:lineChart>
      <c:catAx>
        <c:axId val="1698306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/>
                  <a:t>MHz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9849600"/>
        <c:crosses val="autoZero"/>
        <c:auto val="1"/>
        <c:lblAlgn val="ctr"/>
        <c:lblOffset val="100"/>
        <c:noMultiLvlLbl val="0"/>
      </c:catAx>
      <c:valAx>
        <c:axId val="16984960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9830656"/>
        <c:crossesAt val="1"/>
        <c:crossBetween val="midCat"/>
      </c:valAx>
      <c:spPr>
        <a:solidFill>
          <a:srgbClr val="FFFF99"/>
        </a:solidFill>
      </c:spPr>
    </c:plotArea>
    <c:legend>
      <c:legendPos val="r"/>
      <c:layout>
        <c:manualLayout>
          <c:xMode val="edge"/>
          <c:yMode val="edge"/>
          <c:x val="0.24167887841805591"/>
          <c:y val="1.3661077339425835E-2"/>
          <c:w val="0.39218554265376737"/>
          <c:h val="6.0109610651000241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0" dropStyle="combo" dx="16" fmlaRange="$Z$6:$Z$29" noThreeD="1" sel="16" val="13"/>
</file>

<file path=xl/ctrlProps/ctrlProp2.xml><?xml version="1.0" encoding="utf-8"?>
<formControlPr xmlns="http://schemas.microsoft.com/office/spreadsheetml/2009/9/main" objectType="Drop" dropLines="15" dropStyle="combo" dx="16" fmlaLink="$B$3" fmlaRange="$K$2:$K$16" noThreeD="1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57150</xdr:rowOff>
    </xdr:from>
    <xdr:to>
      <xdr:col>17</xdr:col>
      <xdr:colOff>3086100</xdr:colOff>
      <xdr:row>16</xdr:row>
      <xdr:rowOff>200025</xdr:rowOff>
    </xdr:to>
    <xdr:graphicFrame macro="">
      <xdr:nvGraphicFramePr>
        <xdr:cNvPr id="121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17</xdr:row>
      <xdr:rowOff>47625</xdr:rowOff>
    </xdr:from>
    <xdr:to>
      <xdr:col>17</xdr:col>
      <xdr:colOff>3086100</xdr:colOff>
      <xdr:row>36</xdr:row>
      <xdr:rowOff>76200</xdr:rowOff>
    </xdr:to>
    <xdr:graphicFrame macro="">
      <xdr:nvGraphicFramePr>
        <xdr:cNvPr id="121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1581150</xdr:colOff>
          <xdr:row>33</xdr:row>
          <xdr:rowOff>9525</xdr:rowOff>
        </xdr:from>
        <xdr:to>
          <xdr:col>2</xdr:col>
          <xdr:colOff>752475</xdr:colOff>
          <xdr:row>34</xdr:row>
          <xdr:rowOff>9525</xdr:rowOff>
        </xdr:to>
        <xdr:sp macro="" textlink="">
          <xdr:nvSpPr>
            <xdr:cNvPr id="1197" name="Drop Dow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</xdr:row>
          <xdr:rowOff>9525</xdr:rowOff>
        </xdr:from>
        <xdr:to>
          <xdr:col>11</xdr:col>
          <xdr:colOff>314325</xdr:colOff>
          <xdr:row>20</xdr:row>
          <xdr:rowOff>47625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180975</xdr:rowOff>
        </xdr:from>
        <xdr:to>
          <xdr:col>2</xdr:col>
          <xdr:colOff>9525</xdr:colOff>
          <xdr:row>3</xdr:row>
          <xdr:rowOff>0</xdr:rowOff>
        </xdr:to>
        <xdr:sp macro="" textlink="">
          <xdr:nvSpPr>
            <xdr:cNvPr id="266241" name="Drop Down 1" hidden="1">
              <a:extLst>
                <a:ext uri="{63B3BB69-23CF-44E3-9099-C40C66FF867C}">
                  <a14:compatExt spid="_x0000_s266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Funk/00Projekte/HF-Verst&#228;rker/DK1KPN%20parallel%20feedback/BFR96S_Test4%2020,8dBm,%2021dB%20Basisfeedback%20parall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Measurements"/>
      <sheetName val="Transformer"/>
    </sheetNames>
    <sheetDataSet>
      <sheetData sheetId="0">
        <row r="8">
          <cell r="C8">
            <v>5000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Z37"/>
  <sheetViews>
    <sheetView showGridLines="0" tabSelected="1" zoomScale="110" zoomScaleNormal="110" workbookViewId="0">
      <selection activeCell="A3" sqref="A3:G3"/>
    </sheetView>
  </sheetViews>
  <sheetFormatPr baseColWidth="10" defaultRowHeight="15" x14ac:dyDescent="0.25"/>
  <cols>
    <col min="2" max="2" width="23.7109375" customWidth="1"/>
    <col min="4" max="5" width="11.28515625" customWidth="1"/>
    <col min="6" max="6" width="10" customWidth="1"/>
    <col min="7" max="7" width="9" customWidth="1"/>
    <col min="9" max="9" width="4" customWidth="1"/>
    <col min="10" max="10" width="8.7109375" customWidth="1"/>
    <col min="11" max="11" width="9" customWidth="1"/>
    <col min="12" max="12" width="5.28515625" customWidth="1"/>
    <col min="13" max="13" width="8.28515625" customWidth="1"/>
    <col min="14" max="14" width="18.140625" customWidth="1"/>
    <col min="18" max="18" width="46.7109375" customWidth="1"/>
    <col min="19" max="19" width="40.28515625" customWidth="1"/>
  </cols>
  <sheetData>
    <row r="1" spans="1:26" x14ac:dyDescent="0.25">
      <c r="A1" s="1" t="s">
        <v>36</v>
      </c>
      <c r="E1" s="51" t="s">
        <v>37</v>
      </c>
      <c r="F1" s="52"/>
      <c r="G1" s="53"/>
      <c r="L1" s="48" t="s">
        <v>74</v>
      </c>
    </row>
    <row r="2" spans="1:26" ht="4.5" customHeight="1" x14ac:dyDescent="0.25">
      <c r="A2" s="1"/>
      <c r="E2" s="39"/>
      <c r="F2" s="39"/>
      <c r="G2" s="40"/>
    </row>
    <row r="3" spans="1:26" x14ac:dyDescent="0.25">
      <c r="A3" s="56" t="s">
        <v>91</v>
      </c>
      <c r="B3" s="57"/>
      <c r="C3" s="57"/>
      <c r="D3" s="57"/>
      <c r="E3" s="57"/>
      <c r="F3" s="57"/>
      <c r="G3" s="58"/>
      <c r="U3" s="59" t="s">
        <v>34</v>
      </c>
      <c r="V3" s="59"/>
      <c r="W3" s="59"/>
    </row>
    <row r="4" spans="1:26" ht="4.5" customHeight="1" x14ac:dyDescent="0.25">
      <c r="A4" s="37"/>
      <c r="B4" s="37"/>
      <c r="C4" s="38"/>
    </row>
    <row r="5" spans="1:26" x14ac:dyDescent="0.25">
      <c r="A5" s="18" t="s">
        <v>38</v>
      </c>
      <c r="C5" s="36">
        <v>50</v>
      </c>
      <c r="F5" s="5" t="s">
        <v>51</v>
      </c>
      <c r="G5" s="20">
        <v>50</v>
      </c>
      <c r="T5" s="5" t="s">
        <v>30</v>
      </c>
      <c r="U5" s="5" t="s">
        <v>4</v>
      </c>
      <c r="V5" s="5" t="s">
        <v>31</v>
      </c>
      <c r="W5" s="5" t="s">
        <v>32</v>
      </c>
      <c r="X5" s="5" t="s">
        <v>33</v>
      </c>
      <c r="Z5" s="5" t="s">
        <v>71</v>
      </c>
    </row>
    <row r="6" spans="1:26" x14ac:dyDescent="0.25">
      <c r="A6" t="s">
        <v>3</v>
      </c>
      <c r="C6" s="23" t="s">
        <v>35</v>
      </c>
      <c r="F6" s="5" t="str">
        <f>"=&gt; ZLoad = 4*"&amp;ZOut&amp;"  (Ohm)"</f>
        <v>=&gt; ZLoad = 4*50  (Ohm)</v>
      </c>
      <c r="G6" s="4">
        <f>4*ZOut</f>
        <v>200</v>
      </c>
      <c r="T6">
        <v>2</v>
      </c>
      <c r="U6" s="9">
        <f t="shared" ref="U6:U30" si="0">Ft/T6</f>
        <v>2500</v>
      </c>
      <c r="V6" s="12">
        <f t="shared" ref="V6:V30" si="1">10*LOG10(4*ZLoad*ZSource*((U6+1)^2*Re*Re-2*U6*RFB*(U6+1)*Re+U6^2*RFB^2)/(((1+U6)*Re+ZSource)*RFB+(ZLoad+ZSource+U6*ZSource+U6*ZLoad)*Re+U6*ZSource*ZLoad+ZSource*ZLoad)^2)</f>
        <v>21.668559254046773</v>
      </c>
      <c r="W6" s="12">
        <f t="shared" ref="W6:W30" si="2">(1+U6)*(RFB+ZLoad)*Re/((1+U6)*Re+U6*ZLoad+ZLoad+RFB)</f>
        <v>52.62666824994885</v>
      </c>
      <c r="X6" s="12">
        <f t="shared" ref="X6:X30" si="3">(((1+U6)*(RFB+ZSource)*Re+ZSource*RFB)/((1+U6)*Re+ZSource+U6*ZSource))/4</f>
        <v>43.064136520741513</v>
      </c>
      <c r="Z6">
        <v>10</v>
      </c>
    </row>
    <row r="7" spans="1:26" x14ac:dyDescent="0.25">
      <c r="A7" t="s">
        <v>2</v>
      </c>
      <c r="C7" s="23">
        <v>80</v>
      </c>
      <c r="T7">
        <v>4</v>
      </c>
      <c r="U7" s="9">
        <f t="shared" si="0"/>
        <v>1250</v>
      </c>
      <c r="V7" s="12">
        <f t="shared" si="1"/>
        <v>21.654497404370929</v>
      </c>
      <c r="W7" s="12">
        <f t="shared" si="2"/>
        <v>52.49546752537838</v>
      </c>
      <c r="X7" s="12">
        <f t="shared" si="3"/>
        <v>43.177456517185959</v>
      </c>
      <c r="Z7">
        <v>11</v>
      </c>
    </row>
    <row r="8" spans="1:26" x14ac:dyDescent="0.25">
      <c r="A8" t="s">
        <v>39</v>
      </c>
      <c r="C8" s="23">
        <v>5000</v>
      </c>
      <c r="T8">
        <v>6</v>
      </c>
      <c r="U8" s="9">
        <f t="shared" si="0"/>
        <v>833.33333333333337</v>
      </c>
      <c r="V8" s="12">
        <f t="shared" si="1"/>
        <v>21.640458219764351</v>
      </c>
      <c r="W8" s="12">
        <f t="shared" si="2"/>
        <v>52.365023407104403</v>
      </c>
      <c r="X8" s="12">
        <f t="shared" si="3"/>
        <v>43.290685966290063</v>
      </c>
      <c r="Z8">
        <v>12</v>
      </c>
    </row>
    <row r="9" spans="1:26" x14ac:dyDescent="0.25">
      <c r="A9" t="s">
        <v>40</v>
      </c>
      <c r="C9" s="23">
        <v>50</v>
      </c>
      <c r="F9" s="5" t="str">
        <f>"=&gt; Beta @ "&amp;C9&amp;" MHz (Ft/"&amp;C9&amp;")"</f>
        <v>=&gt; Beta @ 50 MHz (Ft/50)</v>
      </c>
      <c r="G9" s="3">
        <f>Ft/C9</f>
        <v>100</v>
      </c>
      <c r="T9">
        <v>8</v>
      </c>
      <c r="U9" s="9">
        <f t="shared" si="0"/>
        <v>625</v>
      </c>
      <c r="V9" s="12">
        <f t="shared" si="1"/>
        <v>21.626441627179005</v>
      </c>
      <c r="W9" s="12">
        <f t="shared" si="2"/>
        <v>52.235329369165704</v>
      </c>
      <c r="X9" s="12">
        <f t="shared" si="3"/>
        <v>43.403824976537059</v>
      </c>
      <c r="Z9">
        <v>13</v>
      </c>
    </row>
    <row r="10" spans="1:26" x14ac:dyDescent="0.25">
      <c r="A10" s="54" t="s">
        <v>41</v>
      </c>
      <c r="B10" s="55"/>
      <c r="C10" s="55"/>
      <c r="D10" s="28" t="s">
        <v>0</v>
      </c>
      <c r="E10" s="28" t="s">
        <v>1</v>
      </c>
      <c r="F10" s="44" t="s">
        <v>52</v>
      </c>
      <c r="G10" s="44" t="s">
        <v>53</v>
      </c>
      <c r="T10">
        <v>10</v>
      </c>
      <c r="U10" s="9">
        <f t="shared" si="0"/>
        <v>500</v>
      </c>
      <c r="V10" s="12">
        <f t="shared" si="1"/>
        <v>21.612447553919406</v>
      </c>
      <c r="W10" s="12">
        <f t="shared" si="2"/>
        <v>52.106378960437112</v>
      </c>
      <c r="X10" s="12">
        <f t="shared" si="3"/>
        <v>43.516873656236946</v>
      </c>
      <c r="Z10">
        <v>15</v>
      </c>
    </row>
    <row r="11" spans="1:26" x14ac:dyDescent="0.25">
      <c r="A11" t="s">
        <v>42</v>
      </c>
      <c r="C11" s="21">
        <v>130</v>
      </c>
      <c r="D11" s="2"/>
      <c r="E11" s="2">
        <f xml:space="preserve"> 10* LOG(C11)</f>
        <v>21.139433523068369</v>
      </c>
      <c r="F11" s="2">
        <f>10^ (E11/20)*(0.001*$C$5)^0.5</f>
        <v>2.5495097567963931</v>
      </c>
      <c r="G11" s="2">
        <f>F11*(2*2^0.5)</f>
        <v>7.2111025509279809</v>
      </c>
      <c r="T11">
        <v>12</v>
      </c>
      <c r="U11" s="9">
        <f t="shared" si="0"/>
        <v>416.66666666666669</v>
      </c>
      <c r="V11" s="12">
        <f t="shared" si="1"/>
        <v>21.598475927640383</v>
      </c>
      <c r="W11" s="12">
        <f t="shared" si="2"/>
        <v>51.978165803559882</v>
      </c>
      <c r="X11" s="12">
        <f t="shared" si="3"/>
        <v>43.629832113526852</v>
      </c>
      <c r="Z11">
        <v>16</v>
      </c>
    </row>
    <row r="12" spans="1:26" x14ac:dyDescent="0.25">
      <c r="A12" t="s">
        <v>43</v>
      </c>
      <c r="C12" s="21">
        <v>23</v>
      </c>
      <c r="D12" s="2">
        <f>IF(C12="","",10^(C12/10))</f>
        <v>199.52623149688802</v>
      </c>
      <c r="E12" s="2"/>
      <c r="F12" s="2">
        <f xml:space="preserve"> 10^ (C12/20)*(0.001*$C$5)^0.5</f>
        <v>3.158529970547121</v>
      </c>
      <c r="G12" s="2">
        <f>F12*(2*2^0.5)</f>
        <v>8.9336718430192619</v>
      </c>
      <c r="T12">
        <v>14</v>
      </c>
      <c r="U12" s="9">
        <f t="shared" si="0"/>
        <v>357.14285714285717</v>
      </c>
      <c r="V12" s="12">
        <f t="shared" si="1"/>
        <v>21.584526676344836</v>
      </c>
      <c r="W12" s="12">
        <f t="shared" si="2"/>
        <v>51.850683593890317</v>
      </c>
      <c r="X12" s="12">
        <f t="shared" si="3"/>
        <v>43.742700456371381</v>
      </c>
      <c r="Z12">
        <v>18</v>
      </c>
    </row>
    <row r="13" spans="1:26" x14ac:dyDescent="0.25">
      <c r="A13" t="str">
        <f>"Output voltage (Vpp) @ "&amp;ZOut&amp;"Ohm"</f>
        <v>Output voltage (Vpp) @ 50Ohm</v>
      </c>
      <c r="C13" s="22">
        <v>4</v>
      </c>
      <c r="D13" s="2">
        <f>1000*(C13/(2*SQRT(2)))^2/$C$5</f>
        <v>39.999999999999993</v>
      </c>
      <c r="E13" s="2">
        <f>IF(C13="","",20*LOG((C13/(2*SQRT(2))/(0.001*$C$5)^0.5)))</f>
        <v>16.020599913279622</v>
      </c>
      <c r="F13" s="2">
        <f>IF(C13="","",C13/(2*2^0.5))</f>
        <v>1.4142135623730949</v>
      </c>
      <c r="G13" s="2"/>
      <c r="T13">
        <v>16</v>
      </c>
      <c r="U13" s="9">
        <f t="shared" si="0"/>
        <v>312.5</v>
      </c>
      <c r="V13" s="12">
        <f t="shared" si="1"/>
        <v>21.570599728381495</v>
      </c>
      <c r="W13" s="12">
        <f t="shared" si="2"/>
        <v>51.723926098466293</v>
      </c>
      <c r="X13" s="12">
        <f t="shared" si="3"/>
        <v>43.855478792562927</v>
      </c>
      <c r="Z13">
        <v>20</v>
      </c>
    </row>
    <row r="14" spans="1:26" ht="9" customHeight="1" x14ac:dyDescent="0.25">
      <c r="T14">
        <v>18</v>
      </c>
      <c r="U14" s="9">
        <f t="shared" si="0"/>
        <v>277.77777777777777</v>
      </c>
      <c r="V14" s="12">
        <f t="shared" si="1"/>
        <v>21.556695012442692</v>
      </c>
      <c r="W14" s="12">
        <f t="shared" si="2"/>
        <v>51.597887154991469</v>
      </c>
      <c r="X14" s="12">
        <f t="shared" si="3"/>
        <v>43.96816722972202</v>
      </c>
      <c r="Z14">
        <v>22</v>
      </c>
    </row>
    <row r="15" spans="1:26" x14ac:dyDescent="0.25">
      <c r="A15" t="s">
        <v>44</v>
      </c>
      <c r="C15" s="29">
        <v>130</v>
      </c>
      <c r="T15">
        <v>20</v>
      </c>
      <c r="U15" s="9">
        <f t="shared" si="0"/>
        <v>250</v>
      </c>
      <c r="V15" s="12">
        <f t="shared" si="1"/>
        <v>21.542812457562228</v>
      </c>
      <c r="W15" s="12">
        <f t="shared" si="2"/>
        <v>51.472560670836636</v>
      </c>
      <c r="X15" s="12">
        <f t="shared" si="3"/>
        <v>44.080765875297736</v>
      </c>
      <c r="Z15">
        <v>24</v>
      </c>
    </row>
    <row r="16" spans="1:26" x14ac:dyDescent="0.25">
      <c r="A16" t="s">
        <v>79</v>
      </c>
      <c r="C16" s="20">
        <v>25</v>
      </c>
      <c r="F16" s="6" t="s">
        <v>54</v>
      </c>
      <c r="G16" s="3">
        <f>100*C15/C16</f>
        <v>520</v>
      </c>
      <c r="T16">
        <v>22</v>
      </c>
      <c r="U16" s="9">
        <f t="shared" si="0"/>
        <v>227.27272727272728</v>
      </c>
      <c r="V16" s="12">
        <f t="shared" si="1"/>
        <v>21.528951993113111</v>
      </c>
      <c r="W16" s="12">
        <f t="shared" si="2"/>
        <v>51.347940622057969</v>
      </c>
      <c r="X16" s="12">
        <f t="shared" si="3"/>
        <v>44.193274836567916</v>
      </c>
      <c r="Z16">
        <v>27</v>
      </c>
    </row>
    <row r="17" spans="1:26" ht="18" customHeight="1" x14ac:dyDescent="0.25">
      <c r="A17" s="42" t="s">
        <v>45</v>
      </c>
      <c r="T17">
        <v>24</v>
      </c>
      <c r="U17" s="9">
        <f t="shared" si="0"/>
        <v>208.33333333333334</v>
      </c>
      <c r="V17" s="12">
        <f t="shared" si="1"/>
        <v>21.515113548805473</v>
      </c>
      <c r="W17" s="12">
        <f t="shared" si="2"/>
        <v>51.224021052431802</v>
      </c>
      <c r="X17" s="12">
        <f t="shared" si="3"/>
        <v>44.305694220639644</v>
      </c>
      <c r="Z17">
        <v>30</v>
      </c>
    </row>
    <row r="18" spans="1:26" x14ac:dyDescent="0.25">
      <c r="A18" t="s">
        <v>46</v>
      </c>
      <c r="C18" s="20">
        <v>12</v>
      </c>
      <c r="T18">
        <v>26</v>
      </c>
      <c r="U18" s="9">
        <f t="shared" si="0"/>
        <v>192.30769230769232</v>
      </c>
      <c r="V18" s="12">
        <f t="shared" si="1"/>
        <v>21.50129705468439</v>
      </c>
      <c r="W18" s="12">
        <f t="shared" si="2"/>
        <v>51.100796072505766</v>
      </c>
      <c r="X18" s="12">
        <f t="shared" si="3"/>
        <v>44.418024134449489</v>
      </c>
      <c r="Z18">
        <v>33</v>
      </c>
    </row>
    <row r="19" spans="1:26" x14ac:dyDescent="0.25">
      <c r="A19" t="s">
        <v>47</v>
      </c>
      <c r="C19" s="20">
        <v>0.8</v>
      </c>
      <c r="F19" s="6" t="s">
        <v>55</v>
      </c>
      <c r="G19" s="3">
        <f>C18-C19</f>
        <v>11.2</v>
      </c>
      <c r="T19">
        <v>28</v>
      </c>
      <c r="U19" s="9">
        <f t="shared" si="0"/>
        <v>178.57142857142858</v>
      </c>
      <c r="V19" s="12">
        <f t="shared" si="1"/>
        <v>21.487502441127759</v>
      </c>
      <c r="W19" s="12">
        <f t="shared" si="2"/>
        <v>50.978259858665638</v>
      </c>
      <c r="X19" s="12">
        <f t="shared" si="3"/>
        <v>44.53026468476385</v>
      </c>
      <c r="Z19">
        <v>36</v>
      </c>
    </row>
    <row r="20" spans="1:26" x14ac:dyDescent="0.25">
      <c r="A20" t="str">
        <f>"Emitter voltage VE (V) ~20% Vc="&amp;ROUND(G19*0.2,2)&amp;"V"</f>
        <v>Emitter voltage VE (V) ~20% Vc=2,24V</v>
      </c>
      <c r="C20" s="20">
        <v>2.5</v>
      </c>
      <c r="F20" s="6" t="s">
        <v>56</v>
      </c>
      <c r="G20" s="3">
        <f>C18-C19-C20</f>
        <v>8.6999999999999993</v>
      </c>
      <c r="T20">
        <v>30</v>
      </c>
      <c r="U20" s="9">
        <f t="shared" si="0"/>
        <v>166.66666666666666</v>
      </c>
      <c r="V20" s="12">
        <f t="shared" si="1"/>
        <v>21.473729638844191</v>
      </c>
      <c r="W20" s="12">
        <f t="shared" si="2"/>
        <v>50.856406652217963</v>
      </c>
      <c r="X20" s="12">
        <f t="shared" si="3"/>
        <v>44.642415978179358</v>
      </c>
      <c r="Z20">
        <v>39</v>
      </c>
    </row>
    <row r="21" spans="1:26" x14ac:dyDescent="0.25">
      <c r="F21" s="6" t="s">
        <v>57</v>
      </c>
      <c r="G21" s="3">
        <f>G16/G20</f>
        <v>59.770114942528743</v>
      </c>
      <c r="T21">
        <v>32</v>
      </c>
      <c r="U21" s="9">
        <f t="shared" si="0"/>
        <v>156.25</v>
      </c>
      <c r="V21" s="12">
        <f t="shared" si="1"/>
        <v>21.459978578870942</v>
      </c>
      <c r="W21" s="12">
        <f t="shared" si="2"/>
        <v>50.735230758487894</v>
      </c>
      <c r="X21" s="12">
        <f t="shared" si="3"/>
        <v>44.754478121123142</v>
      </c>
      <c r="Z21">
        <v>43</v>
      </c>
    </row>
    <row r="22" spans="1:26" x14ac:dyDescent="0.25">
      <c r="F22" s="6" t="s">
        <v>60</v>
      </c>
      <c r="G22" s="27">
        <f>1000*C20/G21</f>
        <v>41.826923076923073</v>
      </c>
      <c r="T22">
        <v>34</v>
      </c>
      <c r="U22" s="9">
        <f t="shared" si="0"/>
        <v>147.05882352941177</v>
      </c>
      <c r="V22" s="12">
        <f t="shared" si="1"/>
        <v>21.446249192571806</v>
      </c>
      <c r="W22" s="12">
        <f t="shared" si="2"/>
        <v>50.614726545932051</v>
      </c>
      <c r="X22" s="12">
        <f t="shared" si="3"/>
        <v>44.866451219853225</v>
      </c>
      <c r="Z22">
        <v>47</v>
      </c>
    </row>
    <row r="23" spans="1:26" x14ac:dyDescent="0.25">
      <c r="A23" t="s">
        <v>48</v>
      </c>
      <c r="C23" s="20">
        <v>0.68</v>
      </c>
      <c r="F23" s="6" t="s">
        <v>58</v>
      </c>
      <c r="G23" s="3">
        <f>C20+C23</f>
        <v>3.18</v>
      </c>
      <c r="L23" s="49" t="s">
        <v>73</v>
      </c>
      <c r="T23">
        <v>36</v>
      </c>
      <c r="U23" s="9">
        <f t="shared" si="0"/>
        <v>138.88888888888889</v>
      </c>
      <c r="V23" s="12">
        <f t="shared" si="1"/>
        <v>21.432541411635068</v>
      </c>
      <c r="W23" s="12">
        <f t="shared" si="2"/>
        <v>50.494888445266106</v>
      </c>
      <c r="X23" s="12">
        <f t="shared" si="3"/>
        <v>44.978335380458823</v>
      </c>
      <c r="Z23">
        <v>51</v>
      </c>
    </row>
    <row r="24" spans="1:26" ht="15" customHeight="1" x14ac:dyDescent="0.25">
      <c r="F24" s="6" t="s">
        <v>59</v>
      </c>
      <c r="G24" s="2">
        <f>G21/DCBeta</f>
        <v>0.74712643678160928</v>
      </c>
      <c r="T24">
        <v>38</v>
      </c>
      <c r="U24" s="9">
        <f t="shared" si="0"/>
        <v>131.57894736842104</v>
      </c>
      <c r="V24" s="12">
        <f t="shared" si="1"/>
        <v>21.418855168071474</v>
      </c>
      <c r="W24" s="12">
        <f t="shared" si="2"/>
        <v>50.375710948606724</v>
      </c>
      <c r="X24" s="12">
        <f t="shared" si="3"/>
        <v>45.090130708860691</v>
      </c>
      <c r="Z24">
        <v>56</v>
      </c>
    </row>
    <row r="25" spans="1:26" x14ac:dyDescent="0.25">
      <c r="A25" s="47" t="s">
        <v>89</v>
      </c>
      <c r="I25" t="s">
        <v>75</v>
      </c>
      <c r="T25">
        <v>40</v>
      </c>
      <c r="U25" s="9">
        <f t="shared" si="0"/>
        <v>125</v>
      </c>
      <c r="V25" s="12">
        <f t="shared" si="1"/>
        <v>21.405190394212195</v>
      </c>
      <c r="W25" s="12">
        <f t="shared" si="2"/>
        <v>50.257188608627779</v>
      </c>
      <c r="X25" s="12">
        <f t="shared" si="3"/>
        <v>45.201837310811435</v>
      </c>
      <c r="Z25">
        <v>62</v>
      </c>
    </row>
    <row r="26" spans="1:26" x14ac:dyDescent="0.25">
      <c r="A26" t="s">
        <v>78</v>
      </c>
      <c r="C26" s="24">
        <v>4.68</v>
      </c>
      <c r="F26" s="6" t="s">
        <v>62</v>
      </c>
      <c r="G26" s="7">
        <f>1000*(G19-G23)/(C26+G24)</f>
        <v>1477.7617756692646</v>
      </c>
      <c r="I26" t="s">
        <v>76</v>
      </c>
      <c r="T26">
        <v>42</v>
      </c>
      <c r="U26" s="9">
        <f t="shared" si="0"/>
        <v>119.04761904761905</v>
      </c>
      <c r="V26" s="12">
        <f t="shared" si="1"/>
        <v>21.39154702270681</v>
      </c>
      <c r="W26" s="12">
        <f t="shared" si="2"/>
        <v>50.139316037730339</v>
      </c>
      <c r="X26" s="12">
        <f t="shared" si="3"/>
        <v>45.313455291895906</v>
      </c>
      <c r="Z26">
        <v>68</v>
      </c>
    </row>
    <row r="27" spans="1:26" x14ac:dyDescent="0.25">
      <c r="A27" s="8" t="s">
        <v>90</v>
      </c>
      <c r="C27" s="4">
        <f>C26/G24</f>
        <v>6.2639999999999985</v>
      </c>
      <c r="F27" s="6" t="s">
        <v>61</v>
      </c>
      <c r="G27" s="7">
        <f>1000*G23/C26</f>
        <v>679.48717948717956</v>
      </c>
      <c r="I27" s="11" t="s">
        <v>28</v>
      </c>
      <c r="J27" s="19">
        <f>G22-C30</f>
        <v>33.626923076923077</v>
      </c>
      <c r="K27" s="21">
        <v>33</v>
      </c>
      <c r="T27">
        <v>44</v>
      </c>
      <c r="U27" s="9">
        <f t="shared" si="0"/>
        <v>113.63636363636364</v>
      </c>
      <c r="V27" s="12">
        <f t="shared" si="1"/>
        <v>21.377924986521322</v>
      </c>
      <c r="W27" s="12">
        <f t="shared" si="2"/>
        <v>50.022087907226343</v>
      </c>
      <c r="X27" s="12">
        <f t="shared" si="3"/>
        <v>45.424984757531455</v>
      </c>
      <c r="Z27">
        <v>75</v>
      </c>
    </row>
    <row r="28" spans="1:26" x14ac:dyDescent="0.25">
      <c r="F28" s="6" t="s">
        <v>63</v>
      </c>
      <c r="G28" s="7">
        <f>1000*C19/(G21+C26)</f>
        <v>12.412700903844369</v>
      </c>
      <c r="I28" s="11" t="s">
        <v>29</v>
      </c>
      <c r="J28" s="19">
        <f>C30</f>
        <v>8.1999999999999993</v>
      </c>
      <c r="K28" s="21">
        <v>8.1999999999999993</v>
      </c>
      <c r="T28">
        <v>46</v>
      </c>
      <c r="U28" s="9">
        <f t="shared" si="0"/>
        <v>108.69565217391305</v>
      </c>
      <c r="V28" s="12">
        <f t="shared" si="1"/>
        <v>21.364324218936179</v>
      </c>
      <c r="W28" s="12">
        <f t="shared" si="2"/>
        <v>49.905498946535516</v>
      </c>
      <c r="X28" s="12">
        <f t="shared" si="3"/>
        <v>45.536425812968325</v>
      </c>
      <c r="Z28">
        <v>82</v>
      </c>
    </row>
    <row r="29" spans="1:26" ht="17.25" customHeight="1" x14ac:dyDescent="0.25">
      <c r="A29" s="15" t="str">
        <f>"HF calculation with std. values, VE="&amp;FIXED(C20,1)&amp;" V and emitter current IE "&amp;FIXED(G21,1)&amp;" mA for "&amp;C15&amp;" mW power @ "&amp;C9&amp;" MHz"</f>
        <v>HF calculation with std. values, VE=2,5 V and emitter current IE 59,8 mA for 130 mW power @ 50 MHz</v>
      </c>
      <c r="T29">
        <v>48</v>
      </c>
      <c r="U29" s="9">
        <f t="shared" si="0"/>
        <v>104.16666666666667</v>
      </c>
      <c r="V29" s="12">
        <f t="shared" si="1"/>
        <v>21.350744653544297</v>
      </c>
      <c r="W29" s="12">
        <f t="shared" si="2"/>
        <v>49.789543942395547</v>
      </c>
      <c r="X29" s="12">
        <f t="shared" si="3"/>
        <v>45.64777856328994</v>
      </c>
      <c r="Z29">
        <v>91</v>
      </c>
    </row>
    <row r="30" spans="1:26" x14ac:dyDescent="0.25">
      <c r="A30" t="s">
        <v>49</v>
      </c>
      <c r="C30" s="21">
        <v>8.1999999999999993</v>
      </c>
      <c r="F30" s="13" t="s">
        <v>70</v>
      </c>
      <c r="G30" s="3">
        <f>C30*G22/(C30+G22)+26/G21</f>
        <v>7.2909237333743366</v>
      </c>
      <c r="I30" t="s">
        <v>77</v>
      </c>
      <c r="T30">
        <v>50</v>
      </c>
      <c r="U30" s="9">
        <f t="shared" si="0"/>
        <v>100</v>
      </c>
      <c r="V30" s="12">
        <f t="shared" si="1"/>
        <v>21.33718622424913</v>
      </c>
      <c r="W30" s="12">
        <f t="shared" si="2"/>
        <v>49.674217738085012</v>
      </c>
      <c r="X30" s="12">
        <f t="shared" si="3"/>
        <v>45.759043113413306</v>
      </c>
    </row>
    <row r="31" spans="1:26" x14ac:dyDescent="0.25">
      <c r="C31" s="43"/>
      <c r="F31" s="13" t="s">
        <v>69</v>
      </c>
      <c r="G31" s="26">
        <f>ZSource*ZLoad/Re</f>
        <v>1371.56831777362</v>
      </c>
      <c r="I31" t="s">
        <v>67</v>
      </c>
      <c r="K31" t="s">
        <v>68</v>
      </c>
    </row>
    <row r="32" spans="1:26" x14ac:dyDescent="0.25">
      <c r="A32" t="s">
        <v>50</v>
      </c>
      <c r="C32" s="25">
        <v>1300</v>
      </c>
      <c r="D32" s="50" t="str">
        <f>"&lt;= Chosse std. value approximating "&amp;ROUND(G31,0)&amp;" Ohm"</f>
        <v>&lt;= Chosse std. value approximating 1372 Ohm</v>
      </c>
      <c r="I32" s="11" t="s">
        <v>6</v>
      </c>
      <c r="J32" s="19">
        <f>G26-RFB</f>
        <v>177.76177566926458</v>
      </c>
      <c r="K32" s="21">
        <v>180</v>
      </c>
    </row>
    <row r="33" spans="1:11" x14ac:dyDescent="0.25">
      <c r="A33" s="8"/>
      <c r="G33" s="46"/>
      <c r="I33" s="11" t="s">
        <v>7</v>
      </c>
      <c r="J33" s="19">
        <f>RFB</f>
        <v>1300</v>
      </c>
      <c r="K33" s="21">
        <v>1300</v>
      </c>
    </row>
    <row r="34" spans="1:11" x14ac:dyDescent="0.25">
      <c r="B34" s="47" t="s">
        <v>72</v>
      </c>
      <c r="D34" s="45" t="s">
        <v>5</v>
      </c>
      <c r="E34" s="17"/>
      <c r="F34" s="17"/>
      <c r="G34" s="14">
        <f>10*LOG10(4*ZLoad*ZSource*((Beta+1)^2*Re*Re-2*Beta*RFB*(Beta+1)*Re+Beta^2*RFB^2)/(((1+Beta)*Re+ZSource)*RFB+(ZLoad+ZSource+Beta*ZSource+Beta*ZLoad)*Re+Beta*ZSource*ZLoad+ZSource*ZLoad)^2)</f>
        <v>21.33718622424913</v>
      </c>
      <c r="I34" s="11" t="s">
        <v>8</v>
      </c>
      <c r="J34" s="19">
        <f>G27</f>
        <v>679.48717948717956</v>
      </c>
      <c r="K34" s="21">
        <v>680</v>
      </c>
    </row>
    <row r="35" spans="1:11" x14ac:dyDescent="0.25">
      <c r="A35" s="41"/>
      <c r="D35" s="45" t="s">
        <v>64</v>
      </c>
      <c r="E35" s="17"/>
      <c r="F35" s="17"/>
      <c r="G35" s="14">
        <f>(1+Beta)*(RFB+ZLoad)*Re/((1+Beta)*Re+Beta*ZLoad+ZLoad+RFB)</f>
        <v>49.674217738085012</v>
      </c>
      <c r="I35" s="11" t="s">
        <v>9</v>
      </c>
      <c r="J35" s="19">
        <f>G22</f>
        <v>41.826923076923073</v>
      </c>
      <c r="K35" s="21">
        <v>43</v>
      </c>
    </row>
    <row r="36" spans="1:11" x14ac:dyDescent="0.25">
      <c r="A36" s="41"/>
      <c r="D36" s="45" t="s">
        <v>65</v>
      </c>
      <c r="E36" s="17"/>
      <c r="F36" s="17"/>
      <c r="G36" s="14">
        <f>((1+Beta)*(RFB+ZSource)*Re+ZSource*RFB)/((1+Beta)*Re+ZSource+Beta*ZSource)</f>
        <v>183.03617245365322</v>
      </c>
      <c r="I36" s="16" t="s">
        <v>10</v>
      </c>
      <c r="J36" s="19">
        <f>C30</f>
        <v>8.1999999999999993</v>
      </c>
      <c r="K36" s="21">
        <v>8.1999999999999993</v>
      </c>
    </row>
    <row r="37" spans="1:11" x14ac:dyDescent="0.25">
      <c r="A37" s="41"/>
      <c r="D37" s="45" t="s">
        <v>66</v>
      </c>
      <c r="E37" s="17"/>
      <c r="F37" s="17"/>
      <c r="G37" s="14">
        <f>G36/4</f>
        <v>45.759043113413306</v>
      </c>
      <c r="I37" s="11" t="s">
        <v>11</v>
      </c>
      <c r="J37" s="19">
        <f>G28</f>
        <v>12.412700903844369</v>
      </c>
      <c r="K37" s="21">
        <v>12</v>
      </c>
    </row>
  </sheetData>
  <sheetProtection sheet="1"/>
  <mergeCells count="4">
    <mergeCell ref="E1:G1"/>
    <mergeCell ref="A10:C10"/>
    <mergeCell ref="A3:G3"/>
    <mergeCell ref="U3:W3"/>
  </mergeCells>
  <phoneticPr fontId="0" type="noConversion"/>
  <printOptions horizontalCentered="1"/>
  <pageMargins left="0.51181102362204722" right="0.51181102362204722" top="0.78740157480314965" bottom="0.19685039370078741" header="0.31496062992125984" footer="0.11811023622047245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6" shapeId="1201" r:id="rId4">
          <objectPr defaultSize="0" autoPict="0" r:id="rId5">
            <anchor moveWithCells="1">
              <from>
                <xdr:col>7</xdr:col>
                <xdr:colOff>47625</xdr:colOff>
                <xdr:row>2</xdr:row>
                <xdr:rowOff>9525</xdr:rowOff>
              </from>
              <to>
                <xdr:col>11</xdr:col>
                <xdr:colOff>314325</xdr:colOff>
                <xdr:row>20</xdr:row>
                <xdr:rowOff>47625</xdr:rowOff>
              </to>
            </anchor>
          </objectPr>
        </oleObject>
      </mc:Choice>
      <mc:Fallback>
        <oleObject progId="Visio.Drawing.6" shapeId="120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7" r:id="rId6" name="Drop Down 173">
              <controlPr defaultSize="0" autoLine="0" autoPict="0">
                <anchor moveWithCells="1">
                  <from>
                    <xdr:col>1</xdr:col>
                    <xdr:colOff>1581150</xdr:colOff>
                    <xdr:row>33</xdr:row>
                    <xdr:rowOff>9525</xdr:rowOff>
                  </from>
                  <to>
                    <xdr:col>2</xdr:col>
                    <xdr:colOff>752475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E37" sqref="E37"/>
    </sheetView>
  </sheetViews>
  <sheetFormatPr baseColWidth="10" defaultRowHeight="15" x14ac:dyDescent="0.25"/>
  <cols>
    <col min="1" max="1" width="28.7109375" customWidth="1"/>
    <col min="3" max="3" width="12" bestFit="1" customWidth="1"/>
    <col min="12" max="12" width="8.85546875" customWidth="1"/>
  </cols>
  <sheetData>
    <row r="1" spans="1:12" x14ac:dyDescent="0.25">
      <c r="A1" s="1" t="s">
        <v>80</v>
      </c>
      <c r="K1" t="s">
        <v>81</v>
      </c>
      <c r="L1" t="s">
        <v>82</v>
      </c>
    </row>
    <row r="2" spans="1:12" x14ac:dyDescent="0.25">
      <c r="K2" t="s">
        <v>12</v>
      </c>
      <c r="L2" s="30">
        <v>188</v>
      </c>
    </row>
    <row r="3" spans="1:12" x14ac:dyDescent="0.25">
      <c r="A3" t="s">
        <v>83</v>
      </c>
      <c r="B3">
        <v>4</v>
      </c>
      <c r="K3" t="s">
        <v>13</v>
      </c>
      <c r="L3" s="30">
        <v>24.8</v>
      </c>
    </row>
    <row r="4" spans="1:12" x14ac:dyDescent="0.25">
      <c r="A4" t="s">
        <v>82</v>
      </c>
      <c r="B4">
        <f>INDEX(K2:L16,B3,2)</f>
        <v>420</v>
      </c>
      <c r="K4" t="s">
        <v>14</v>
      </c>
      <c r="L4" s="30">
        <v>356</v>
      </c>
    </row>
    <row r="5" spans="1:12" x14ac:dyDescent="0.25">
      <c r="A5" t="s">
        <v>84</v>
      </c>
      <c r="B5" s="31">
        <v>2</v>
      </c>
      <c r="K5" t="s">
        <v>15</v>
      </c>
      <c r="L5" s="30">
        <v>420</v>
      </c>
    </row>
    <row r="6" spans="1:12" x14ac:dyDescent="0.25">
      <c r="A6" t="s">
        <v>27</v>
      </c>
      <c r="B6" s="31">
        <v>200</v>
      </c>
      <c r="K6" t="s">
        <v>16</v>
      </c>
      <c r="L6" s="30">
        <v>55.3</v>
      </c>
    </row>
    <row r="7" spans="1:12" x14ac:dyDescent="0.25">
      <c r="A7" t="s">
        <v>85</v>
      </c>
      <c r="B7" s="32">
        <v>4</v>
      </c>
      <c r="C7" s="33">
        <f>B7*B6</f>
        <v>800</v>
      </c>
      <c r="D7" s="10" t="s">
        <v>86</v>
      </c>
      <c r="K7" t="s">
        <v>17</v>
      </c>
      <c r="L7" s="30">
        <v>796</v>
      </c>
    </row>
    <row r="8" spans="1:12" x14ac:dyDescent="0.25">
      <c r="A8" t="s">
        <v>87</v>
      </c>
      <c r="C8" s="34">
        <f>C7/(2*PI()*B5)</f>
        <v>63.661977236758133</v>
      </c>
      <c r="K8" t="s">
        <v>18</v>
      </c>
      <c r="L8" s="30">
        <v>523</v>
      </c>
    </row>
    <row r="9" spans="1:12" x14ac:dyDescent="0.25">
      <c r="A9" t="s">
        <v>88</v>
      </c>
      <c r="C9" s="35">
        <f>SQRT(1000*C8/B4)</f>
        <v>12.311626061491452</v>
      </c>
      <c r="K9" t="s">
        <v>19</v>
      </c>
      <c r="L9" s="30">
        <v>68</v>
      </c>
    </row>
    <row r="10" spans="1:12" x14ac:dyDescent="0.25">
      <c r="K10" t="s">
        <v>20</v>
      </c>
      <c r="L10" s="30">
        <v>990</v>
      </c>
    </row>
    <row r="11" spans="1:12" x14ac:dyDescent="0.25">
      <c r="K11" t="s">
        <v>21</v>
      </c>
      <c r="L11" s="30">
        <v>2890</v>
      </c>
    </row>
    <row r="12" spans="1:12" x14ac:dyDescent="0.25">
      <c r="K12" t="s">
        <v>22</v>
      </c>
      <c r="L12" s="30">
        <v>1275</v>
      </c>
    </row>
    <row r="13" spans="1:12" x14ac:dyDescent="0.25">
      <c r="K13" t="s">
        <v>23</v>
      </c>
      <c r="L13" s="30">
        <v>425</v>
      </c>
    </row>
    <row r="14" spans="1:12" x14ac:dyDescent="0.25">
      <c r="K14" t="s">
        <v>24</v>
      </c>
      <c r="L14" s="30">
        <v>150</v>
      </c>
    </row>
    <row r="15" spans="1:12" x14ac:dyDescent="0.25">
      <c r="K15" t="s">
        <v>25</v>
      </c>
      <c r="L15" s="30">
        <v>8500</v>
      </c>
    </row>
    <row r="16" spans="1:12" x14ac:dyDescent="0.25">
      <c r="K16" t="s">
        <v>26</v>
      </c>
      <c r="L16" s="30">
        <v>3750</v>
      </c>
    </row>
  </sheetData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41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180975</xdr:rowOff>
                  </from>
                  <to>
                    <xdr:col>2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9</vt:i4>
      </vt:variant>
    </vt:vector>
  </HeadingPairs>
  <TitlesOfParts>
    <vt:vector size="11" baseType="lpstr">
      <vt:lpstr>Calc</vt:lpstr>
      <vt:lpstr>Transformer</vt:lpstr>
      <vt:lpstr>Calc!Beta</vt:lpstr>
      <vt:lpstr>Calc!DCBeta</vt:lpstr>
      <vt:lpstr>Calc!Druckbereich</vt:lpstr>
      <vt:lpstr>Ft</vt:lpstr>
      <vt:lpstr>Calc!Re</vt:lpstr>
      <vt:lpstr>Calc!RFB</vt:lpstr>
      <vt:lpstr>Calc!ZLoad</vt:lpstr>
      <vt:lpstr>Calc!ZOut</vt:lpstr>
      <vt:lpstr>Calc!ZSource</vt:lpstr>
    </vt:vector>
  </TitlesOfParts>
  <Company>L+P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</dc:creator>
  <cp:lastModifiedBy>GL</cp:lastModifiedBy>
  <cp:lastPrinted>2016-03-05T08:30:16Z</cp:lastPrinted>
  <dcterms:created xsi:type="dcterms:W3CDTF">2010-12-06T17:18:10Z</dcterms:created>
  <dcterms:modified xsi:type="dcterms:W3CDTF">2019-06-08T09:28:49Z</dcterms:modified>
</cp:coreProperties>
</file>